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9435" tabRatio="741" activeTab="0"/>
  </bookViews>
  <sheets>
    <sheet name="Ricavi MAZZANTA" sheetId="1" r:id="rId1"/>
    <sheet name="Ricavi Resort" sheetId="2" r:id="rId2"/>
    <sheet name="Ricavi rist" sheetId="3" r:id="rId3"/>
    <sheet name="Enoteca" sheetId="4" r:id="rId4"/>
    <sheet name="Maneggio" sheetId="5" r:id="rId5"/>
    <sheet name="mutuo" sheetId="6" r:id="rId6"/>
  </sheets>
  <definedNames>
    <definedName name="_xlnm.Print_Area" localSheetId="0">'Ricavi MAZZANTA'!$A$1:$V$64</definedName>
    <definedName name="_xlnm.Print_Area" localSheetId="1">'Ricavi Resort'!$A$1:$U$51</definedName>
    <definedName name="_xlnm.Print_Area" localSheetId="2">'Ricavi rist'!$A$1:$U$72</definedName>
  </definedNames>
  <calcPr fullCalcOnLoad="1"/>
</workbook>
</file>

<file path=xl/sharedStrings.xml><?xml version="1.0" encoding="utf-8"?>
<sst xmlns="http://schemas.openxmlformats.org/spreadsheetml/2006/main" count="561" uniqueCount="127">
  <si>
    <t>Prezzo/stanza doppia</t>
  </si>
  <si>
    <t>Saturazione stanze</t>
  </si>
  <si>
    <t>amento costo stanza Y/Y</t>
  </si>
  <si>
    <t>Q1</t>
  </si>
  <si>
    <t>Q2</t>
  </si>
  <si>
    <t>Q3</t>
  </si>
  <si>
    <t>Q4</t>
  </si>
  <si>
    <t>GG disponibili</t>
  </si>
  <si>
    <t>Ricavi stanze (k€)</t>
  </si>
  <si>
    <t>Costi personale</t>
  </si>
  <si>
    <t>Costi gestione</t>
  </si>
  <si>
    <t>Telefono</t>
  </si>
  <si>
    <t>Energia elettrica</t>
  </si>
  <si>
    <t>Consulenze</t>
  </si>
  <si>
    <t>Leasing arredi</t>
  </si>
  <si>
    <t>Assicurazioni</t>
  </si>
  <si>
    <t>Software gestione stanze</t>
  </si>
  <si>
    <t>TOT RICAVI ANNO (k€)</t>
  </si>
  <si>
    <t>Ammortamenti e leasing</t>
  </si>
  <si>
    <t>Marketing</t>
  </si>
  <si>
    <t>Servizio colazioni da rist (€ 3/stanza)</t>
  </si>
  <si>
    <t>Numero addetti</t>
  </si>
  <si>
    <t>Costo complessivo</t>
  </si>
  <si>
    <t>Camerieri</t>
  </si>
  <si>
    <t>Nolo e lavaggio biancheria (€ 5/paio)</t>
  </si>
  <si>
    <t>Stanze utilizzate</t>
  </si>
  <si>
    <t>Varie</t>
  </si>
  <si>
    <t>Costi generali (parametrati stanze)</t>
  </si>
  <si>
    <t>Fabbricati</t>
  </si>
  <si>
    <t>Impianti</t>
  </si>
  <si>
    <t>Oneri finanziari</t>
  </si>
  <si>
    <t>RISULTATO ANNUO ANTE TAX</t>
  </si>
  <si>
    <t>TOT COSTI</t>
  </si>
  <si>
    <t>Servizio da ristorante (forfait)</t>
  </si>
  <si>
    <t>Oneri finanziari su mutui</t>
  </si>
  <si>
    <t>Servizi pulizie generali (€ 8/stanza)</t>
  </si>
  <si>
    <t>Affiti vs Corte Mazzanta</t>
  </si>
  <si>
    <t>amento costo menu Y/Y</t>
  </si>
  <si>
    <t>Saturazione tavoli</t>
  </si>
  <si>
    <t>Giro tavoli</t>
  </si>
  <si>
    <t>Pasti totali</t>
  </si>
  <si>
    <t>Numero coperti disponibile</t>
  </si>
  <si>
    <t>Numero stanze disponibile</t>
  </si>
  <si>
    <t>Nolo e lavaggio biancheria (€ 3/tavolo)</t>
  </si>
  <si>
    <t>Occupazione media tavolo</t>
  </si>
  <si>
    <t>Tavoli totali</t>
  </si>
  <si>
    <t>Spese pulizia</t>
  </si>
  <si>
    <t>Cuochi</t>
  </si>
  <si>
    <t>Bar</t>
  </si>
  <si>
    <t>Altro occasionale</t>
  </si>
  <si>
    <t>Prezzo/coperto</t>
  </si>
  <si>
    <t>Altro personale qualificato cucina</t>
  </si>
  <si>
    <t>Ristorante Corte Mazzanta S.r.l.</t>
  </si>
  <si>
    <t>Corte Mazzanta S.r.l.</t>
  </si>
  <si>
    <t>Ristrutturazione immobile</t>
  </si>
  <si>
    <t>INVESTIMENTI</t>
  </si>
  <si>
    <t>RICAVI</t>
  </si>
  <si>
    <t>RISULTATO ANTE IMPOSTE</t>
  </si>
  <si>
    <t>Affitti Ristorante</t>
  </si>
  <si>
    <t>Ires 33%</t>
  </si>
  <si>
    <t>Irap 4,75%</t>
  </si>
  <si>
    <t>RISULTATO D'ESERCIZIO</t>
  </si>
  <si>
    <t>TOT RICAVI (k€)</t>
  </si>
  <si>
    <t>Mantenzioni varie</t>
  </si>
  <si>
    <t>Costi generali</t>
  </si>
  <si>
    <t>Oneri finanziari operativi</t>
  </si>
  <si>
    <t>TOT COSTI ANNO (k€)</t>
  </si>
  <si>
    <t>TOT INVESTIMENTI (k€)</t>
  </si>
  <si>
    <t>TOT INVESTIMENTI ANNO (k€)</t>
  </si>
  <si>
    <t>B&amp;B Corte Mazzanta S.r.l.</t>
  </si>
  <si>
    <t>Ammortamenti</t>
  </si>
  <si>
    <t>Corpo 1 e 2 - Bed&amp;Breakfast</t>
  </si>
  <si>
    <t>totale</t>
  </si>
  <si>
    <t>Consulenze tecniche/gestionali</t>
  </si>
  <si>
    <t>Compenso amministratori</t>
  </si>
  <si>
    <t>Fabbricati (amm.to 33 anni)</t>
  </si>
  <si>
    <t>FLUSSI FINANZIARI</t>
  </si>
  <si>
    <t>Quota capitale MUTUO</t>
  </si>
  <si>
    <t>Corpo 7 - Enoteca</t>
  </si>
  <si>
    <t>Dividendi (B&amp;B) - 51%</t>
  </si>
  <si>
    <t>Dividendi (Ristorante) - 51%</t>
  </si>
  <si>
    <t>Ristorante</t>
  </si>
  <si>
    <t>Enoteca</t>
  </si>
  <si>
    <t>Euro/cliente</t>
  </si>
  <si>
    <t>Ricavi Enoteca (k€)</t>
  </si>
  <si>
    <t>Clienti medi giornalieri</t>
  </si>
  <si>
    <t>Materie prime ristorante (35% ricavo)</t>
  </si>
  <si>
    <t>Materie prime enoteca (35% ricavo)</t>
  </si>
  <si>
    <t>Titolare / Receptionist</t>
  </si>
  <si>
    <t>Enoteca Corte Mazzanta S.r.l.</t>
  </si>
  <si>
    <t>Clienti Serviti</t>
  </si>
  <si>
    <t>Nolo e lavaggio biancheria (€ 2/tavolo)</t>
  </si>
  <si>
    <t>Oneri finanziari operativi (2,5%)</t>
  </si>
  <si>
    <t>Compenso Amministratori</t>
  </si>
  <si>
    <t>Affitti Enoteca</t>
  </si>
  <si>
    <t>Dividendi Enoteca - 51%</t>
  </si>
  <si>
    <t>Materie prime enoteca (20% ricavo)</t>
  </si>
  <si>
    <t>Maneggio Corte Mazzanta S.r.l.</t>
  </si>
  <si>
    <t>Maneggio</t>
  </si>
  <si>
    <t>Cavalli  a Pensione</t>
  </si>
  <si>
    <t>Prezzo Pensione / Mese</t>
  </si>
  <si>
    <t>Saturazione Pensione</t>
  </si>
  <si>
    <t>Mesi Disponibili</t>
  </si>
  <si>
    <t>Costo Mangime ( euro 70 mese/cavallo )</t>
  </si>
  <si>
    <t>Costo Fieno( euro 50 mese/cavallo )</t>
  </si>
  <si>
    <t>Pensione</t>
  </si>
  <si>
    <t>Ricavi maneggio (k€)</t>
  </si>
  <si>
    <t xml:space="preserve">Costi generali </t>
  </si>
  <si>
    <t>veterinario</t>
  </si>
  <si>
    <t>Margine Lezioni ( 4h.ggx220gg a euro 10)</t>
  </si>
  <si>
    <t>Margine Passeggiate ( 3passxsettx40sett a euro 20con 8 pers)</t>
  </si>
  <si>
    <t>Corpo 4 - Ristorante+Torre</t>
  </si>
  <si>
    <t>Affitto Maneggio</t>
  </si>
  <si>
    <t>Dividendo Maneggio-100%</t>
  </si>
  <si>
    <t>Oneri finanz. mutui (tasso 5%)</t>
  </si>
  <si>
    <t>Investimenti</t>
  </si>
  <si>
    <t>Utile trimestrale (netto ammortamenti)</t>
  </si>
  <si>
    <t>TOT FABBISOGNO (k€)</t>
  </si>
  <si>
    <t>IVA da PAGARE al Fornitore (investimento)</t>
  </si>
  <si>
    <t>IVA debito/credito su ricavi/costi</t>
  </si>
  <si>
    <t>Centro Benessere</t>
  </si>
  <si>
    <t>Centro Congresi - Reception</t>
  </si>
  <si>
    <t>Area Esterna</t>
  </si>
  <si>
    <t>Ricavi coperti (k€)</t>
  </si>
  <si>
    <t>Oneri finanziari operativi (3%)</t>
  </si>
  <si>
    <t>Oneri finanziari operativi (4,5%)</t>
  </si>
  <si>
    <t>Affitti Resort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</si>
</sst>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_-;\-&quot;€&quot;\ * #,##0.0_-;_-&quot;€&quot;\ * &quot;-&quot;??_-;_-@_-"/>
    <numFmt numFmtId="165" formatCode="_-&quot;€&quot;\ * #,##0_-;\-&quot;€&quot;\ * #,##0_-;_-&quot;€&quot;\ * &quot;-&quot;??_-;_-@_-"/>
    <numFmt numFmtId="166" formatCode="_-* #,##0.0_-;\-* #,##0.0_-;_-* &quot;-&quot;??_-;_-@_-"/>
    <numFmt numFmtId="167" formatCode="_-* #,##0_-;\-* #,##0_-;_-* &quot;-&quot;??_-;_-@_-"/>
    <numFmt numFmtId="168" formatCode="0.00000"/>
    <numFmt numFmtId="169" formatCode="0.0000"/>
    <numFmt numFmtId="170" formatCode="0.000"/>
    <numFmt numFmtId="171" formatCode="0.0"/>
    <numFmt numFmtId="172" formatCode="_-* #,##0.0_-;\-* #,##0.0_-;_-* &quot;-&quot;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167" fontId="0" fillId="0" borderId="1" xfId="16" applyNumberFormat="1" applyBorder="1" applyAlignment="1">
      <alignment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167" fontId="3" fillId="0" borderId="1" xfId="16" applyNumberFormat="1" applyFont="1" applyBorder="1" applyAlignment="1">
      <alignment/>
    </xf>
    <xf numFmtId="167" fontId="0" fillId="3" borderId="1" xfId="16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4" fillId="3" borderId="1" xfId="15" applyNumberFormat="1" applyFont="1" applyFill="1" applyBorder="1" applyAlignment="1">
      <alignment/>
    </xf>
    <xf numFmtId="9" fontId="4" fillId="3" borderId="1" xfId="0" applyNumberFormat="1" applyFont="1" applyFill="1" applyBorder="1" applyAlignment="1">
      <alignment/>
    </xf>
    <xf numFmtId="167" fontId="0" fillId="3" borderId="1" xfId="16" applyNumberFormat="1" applyFont="1" applyFill="1" applyBorder="1" applyAlignment="1">
      <alignment/>
    </xf>
    <xf numFmtId="9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167" fontId="0" fillId="0" borderId="3" xfId="16" applyNumberFormat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4" fillId="3" borderId="4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left" indent="1"/>
    </xf>
    <xf numFmtId="0" fontId="3" fillId="3" borderId="4" xfId="0" applyFont="1" applyFill="1" applyBorder="1" applyAlignment="1">
      <alignment horizontal="left" indent="2"/>
    </xf>
    <xf numFmtId="0" fontId="0" fillId="3" borderId="4" xfId="0" applyFont="1" applyFill="1" applyBorder="1" applyAlignment="1">
      <alignment horizontal="left" indent="2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0" fillId="3" borderId="7" xfId="16" applyNumberFormat="1" applyFill="1" applyBorder="1" applyAlignment="1">
      <alignment/>
    </xf>
    <xf numFmtId="167" fontId="0" fillId="3" borderId="8" xfId="16" applyNumberFormat="1" applyFill="1" applyBorder="1" applyAlignment="1">
      <alignment/>
    </xf>
    <xf numFmtId="165" fontId="4" fillId="3" borderId="7" xfId="15" applyNumberFormat="1" applyFont="1" applyFill="1" applyBorder="1" applyAlignment="1">
      <alignment/>
    </xf>
    <xf numFmtId="165" fontId="4" fillId="3" borderId="8" xfId="15" applyNumberFormat="1" applyFont="1" applyFill="1" applyBorder="1" applyAlignment="1">
      <alignment/>
    </xf>
    <xf numFmtId="167" fontId="0" fillId="3" borderId="7" xfId="16" applyNumberFormat="1" applyFont="1" applyFill="1" applyBorder="1" applyAlignment="1">
      <alignment/>
    </xf>
    <xf numFmtId="167" fontId="0" fillId="3" borderId="8" xfId="16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167" fontId="0" fillId="0" borderId="7" xfId="16" applyNumberFormat="1" applyBorder="1" applyAlignment="1">
      <alignment/>
    </xf>
    <xf numFmtId="167" fontId="0" fillId="0" borderId="8" xfId="16" applyNumberFormat="1" applyBorder="1" applyAlignment="1">
      <alignment/>
    </xf>
    <xf numFmtId="167" fontId="3" fillId="0" borderId="7" xfId="16" applyNumberFormat="1" applyFont="1" applyBorder="1" applyAlignment="1">
      <alignment/>
    </xf>
    <xf numFmtId="167" fontId="3" fillId="0" borderId="8" xfId="16" applyNumberFormat="1" applyFont="1" applyBorder="1" applyAlignment="1">
      <alignment/>
    </xf>
    <xf numFmtId="167" fontId="0" fillId="0" borderId="11" xfId="16" applyNumberFormat="1" applyBorder="1" applyAlignment="1">
      <alignment/>
    </xf>
    <xf numFmtId="167" fontId="0" fillId="0" borderId="12" xfId="16" applyNumberFormat="1" applyBorder="1" applyAlignment="1">
      <alignment/>
    </xf>
    <xf numFmtId="165" fontId="0" fillId="3" borderId="7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9" fontId="4" fillId="3" borderId="7" xfId="0" applyNumberFormat="1" applyFont="1" applyFill="1" applyBorder="1" applyAlignment="1">
      <alignment/>
    </xf>
    <xf numFmtId="9" fontId="4" fillId="3" borderId="8" xfId="0" applyNumberFormat="1" applyFont="1" applyFill="1" applyBorder="1" applyAlignment="1">
      <alignment/>
    </xf>
    <xf numFmtId="9" fontId="0" fillId="3" borderId="8" xfId="0" applyNumberFormat="1" applyFill="1" applyBorder="1" applyAlignment="1">
      <alignment/>
    </xf>
    <xf numFmtId="9" fontId="0" fillId="3" borderId="7" xfId="0" applyNumberFormat="1" applyFill="1" applyBorder="1" applyAlignment="1">
      <alignment/>
    </xf>
    <xf numFmtId="0" fontId="2" fillId="4" borderId="4" xfId="0" applyFont="1" applyFill="1" applyBorder="1" applyAlignment="1">
      <alignment/>
    </xf>
    <xf numFmtId="1" fontId="2" fillId="4" borderId="11" xfId="16" applyNumberFormat="1" applyFont="1" applyFill="1" applyBorder="1" applyAlignment="1">
      <alignment/>
    </xf>
    <xf numFmtId="1" fontId="2" fillId="4" borderId="3" xfId="16" applyNumberFormat="1" applyFont="1" applyFill="1" applyBorder="1" applyAlignment="1">
      <alignment/>
    </xf>
    <xf numFmtId="1" fontId="2" fillId="4" borderId="12" xfId="16" applyNumberFormat="1" applyFont="1" applyFill="1" applyBorder="1" applyAlignment="1">
      <alignment/>
    </xf>
    <xf numFmtId="43" fontId="0" fillId="3" borderId="0" xfId="16" applyFill="1" applyAlignment="1">
      <alignment/>
    </xf>
    <xf numFmtId="167" fontId="0" fillId="3" borderId="7" xfId="16" applyNumberFormat="1" applyFill="1" applyBorder="1" applyAlignment="1">
      <alignment/>
    </xf>
    <xf numFmtId="167" fontId="0" fillId="3" borderId="1" xfId="16" applyNumberFormat="1" applyFill="1" applyBorder="1" applyAlignment="1">
      <alignment/>
    </xf>
    <xf numFmtId="167" fontId="0" fillId="3" borderId="8" xfId="16" applyNumberFormat="1" applyFill="1" applyBorder="1" applyAlignment="1">
      <alignment/>
    </xf>
    <xf numFmtId="165" fontId="0" fillId="3" borderId="7" xfId="15" applyNumberFormat="1" applyFill="1" applyBorder="1" applyAlignment="1">
      <alignment/>
    </xf>
    <xf numFmtId="165" fontId="0" fillId="3" borderId="1" xfId="15" applyNumberFormat="1" applyFill="1" applyBorder="1" applyAlignment="1">
      <alignment/>
    </xf>
    <xf numFmtId="165" fontId="0" fillId="3" borderId="8" xfId="15" applyNumberFormat="1" applyFill="1" applyBorder="1" applyAlignment="1">
      <alignment/>
    </xf>
    <xf numFmtId="167" fontId="0" fillId="0" borderId="7" xfId="16" applyNumberFormat="1" applyBorder="1" applyAlignment="1">
      <alignment/>
    </xf>
    <xf numFmtId="167" fontId="0" fillId="0" borderId="1" xfId="16" applyNumberFormat="1" applyBorder="1" applyAlignment="1">
      <alignment/>
    </xf>
    <xf numFmtId="167" fontId="0" fillId="0" borderId="8" xfId="16" applyNumberFormat="1" applyBorder="1" applyAlignment="1">
      <alignment/>
    </xf>
    <xf numFmtId="167" fontId="0" fillId="0" borderId="11" xfId="16" applyNumberFormat="1" applyBorder="1" applyAlignment="1">
      <alignment/>
    </xf>
    <xf numFmtId="167" fontId="0" fillId="0" borderId="3" xfId="16" applyNumberFormat="1" applyBorder="1" applyAlignment="1">
      <alignment/>
    </xf>
    <xf numFmtId="167" fontId="0" fillId="0" borderId="12" xfId="16" applyNumberFormat="1" applyBorder="1" applyAlignment="1">
      <alignment/>
    </xf>
    <xf numFmtId="43" fontId="0" fillId="3" borderId="0" xfId="16" applyFill="1" applyAlignment="1">
      <alignment/>
    </xf>
    <xf numFmtId="167" fontId="0" fillId="0" borderId="4" xfId="16" applyNumberFormat="1" applyBorder="1" applyAlignment="1">
      <alignment/>
    </xf>
    <xf numFmtId="167" fontId="0" fillId="0" borderId="13" xfId="16" applyNumberFormat="1" applyBorder="1" applyAlignment="1">
      <alignment/>
    </xf>
    <xf numFmtId="166" fontId="3" fillId="0" borderId="1" xfId="16" applyNumberFormat="1" applyFont="1" applyBorder="1" applyAlignment="1">
      <alignment/>
    </xf>
    <xf numFmtId="166" fontId="3" fillId="0" borderId="8" xfId="16" applyNumberFormat="1" applyFont="1" applyBorder="1" applyAlignment="1">
      <alignment/>
    </xf>
    <xf numFmtId="166" fontId="3" fillId="0" borderId="7" xfId="16" applyNumberFormat="1" applyFont="1" applyBorder="1" applyAlignment="1">
      <alignment/>
    </xf>
    <xf numFmtId="0" fontId="2" fillId="2" borderId="14" xfId="0" applyFont="1" applyFill="1" applyBorder="1" applyAlignment="1">
      <alignment horizontal="center"/>
    </xf>
    <xf numFmtId="165" fontId="0" fillId="3" borderId="4" xfId="0" applyNumberFormat="1" applyFill="1" applyBorder="1" applyAlignment="1">
      <alignment/>
    </xf>
    <xf numFmtId="9" fontId="4" fillId="3" borderId="4" xfId="0" applyNumberFormat="1" applyFont="1" applyFill="1" applyBorder="1" applyAlignment="1">
      <alignment/>
    </xf>
    <xf numFmtId="167" fontId="0" fillId="3" borderId="4" xfId="16" applyNumberFormat="1" applyFont="1" applyFill="1" applyBorder="1" applyAlignment="1">
      <alignment/>
    </xf>
    <xf numFmtId="167" fontId="0" fillId="0" borderId="4" xfId="16" applyNumberFormat="1" applyBorder="1" applyAlignment="1">
      <alignment/>
    </xf>
    <xf numFmtId="167" fontId="3" fillId="0" borderId="4" xfId="16" applyNumberFormat="1" applyFont="1" applyBorder="1" applyAlignment="1">
      <alignment/>
    </xf>
    <xf numFmtId="0" fontId="2" fillId="2" borderId="15" xfId="0" applyFont="1" applyFill="1" applyBorder="1" applyAlignment="1">
      <alignment horizontal="center"/>
    </xf>
    <xf numFmtId="165" fontId="0" fillId="3" borderId="13" xfId="0" applyNumberFormat="1" applyFill="1" applyBorder="1" applyAlignment="1">
      <alignment/>
    </xf>
    <xf numFmtId="9" fontId="4" fillId="3" borderId="13" xfId="0" applyNumberFormat="1" applyFont="1" applyFill="1" applyBorder="1" applyAlignment="1">
      <alignment/>
    </xf>
    <xf numFmtId="167" fontId="0" fillId="3" borderId="13" xfId="16" applyNumberFormat="1" applyFont="1" applyFill="1" applyBorder="1" applyAlignment="1">
      <alignment/>
    </xf>
    <xf numFmtId="167" fontId="0" fillId="0" borderId="13" xfId="16" applyNumberFormat="1" applyBorder="1" applyAlignment="1">
      <alignment/>
    </xf>
    <xf numFmtId="167" fontId="3" fillId="0" borderId="13" xfId="16" applyNumberFormat="1" applyFont="1" applyBorder="1" applyAlignment="1">
      <alignment/>
    </xf>
    <xf numFmtId="0" fontId="0" fillId="0" borderId="16" xfId="0" applyBorder="1" applyAlignment="1">
      <alignment/>
    </xf>
    <xf numFmtId="0" fontId="0" fillId="3" borderId="17" xfId="0" applyFill="1" applyBorder="1" applyAlignment="1">
      <alignment/>
    </xf>
    <xf numFmtId="0" fontId="4" fillId="3" borderId="17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0" fillId="3" borderId="17" xfId="0" applyFont="1" applyFill="1" applyBorder="1" applyAlignment="1">
      <alignment horizontal="left" indent="1"/>
    </xf>
    <xf numFmtId="0" fontId="3" fillId="3" borderId="17" xfId="0" applyFont="1" applyFill="1" applyBorder="1" applyAlignment="1">
      <alignment horizontal="left" indent="2"/>
    </xf>
    <xf numFmtId="0" fontId="0" fillId="3" borderId="17" xfId="0" applyFont="1" applyFill="1" applyBorder="1" applyAlignment="1">
      <alignment horizontal="left" indent="2"/>
    </xf>
    <xf numFmtId="0" fontId="2" fillId="4" borderId="19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9" fontId="2" fillId="3" borderId="0" xfId="0" applyNumberFormat="1" applyFont="1" applyFill="1" applyAlignment="1">
      <alignment/>
    </xf>
    <xf numFmtId="0" fontId="0" fillId="3" borderId="11" xfId="0" applyFont="1" applyFill="1" applyBorder="1" applyAlignment="1">
      <alignment horizontal="left" indent="1"/>
    </xf>
    <xf numFmtId="165" fontId="0" fillId="3" borderId="0" xfId="19" applyNumberFormat="1" applyFill="1" applyAlignment="1">
      <alignment/>
    </xf>
    <xf numFmtId="167" fontId="0" fillId="3" borderId="0" xfId="0" applyNumberFormat="1" applyFill="1" applyAlignment="1">
      <alignment/>
    </xf>
    <xf numFmtId="165" fontId="2" fillId="3" borderId="4" xfId="19" applyNumberFormat="1" applyFont="1" applyFill="1" applyBorder="1" applyAlignment="1">
      <alignment/>
    </xf>
    <xf numFmtId="165" fontId="0" fillId="3" borderId="4" xfId="19" applyNumberFormat="1" applyFill="1" applyBorder="1" applyAlignment="1">
      <alignment horizontal="left" indent="1"/>
    </xf>
    <xf numFmtId="165" fontId="0" fillId="3" borderId="4" xfId="19" applyNumberFormat="1" applyFont="1" applyFill="1" applyBorder="1" applyAlignment="1">
      <alignment horizontal="left" indent="1"/>
    </xf>
    <xf numFmtId="165" fontId="0" fillId="3" borderId="20" xfId="19" applyNumberFormat="1" applyFill="1" applyBorder="1" applyAlignment="1">
      <alignment/>
    </xf>
    <xf numFmtId="0" fontId="2" fillId="3" borderId="21" xfId="0" applyFont="1" applyFill="1" applyBorder="1" applyAlignment="1">
      <alignment horizontal="left"/>
    </xf>
    <xf numFmtId="165" fontId="2" fillId="3" borderId="22" xfId="19" applyNumberFormat="1" applyFont="1" applyFill="1" applyBorder="1" applyAlignment="1">
      <alignment horizontal="left"/>
    </xf>
    <xf numFmtId="167" fontId="2" fillId="3" borderId="23" xfId="16" applyNumberFormat="1" applyFont="1" applyFill="1" applyBorder="1" applyAlignment="1">
      <alignment/>
    </xf>
    <xf numFmtId="167" fontId="2" fillId="3" borderId="24" xfId="16" applyNumberFormat="1" applyFont="1" applyFill="1" applyBorder="1" applyAlignment="1">
      <alignment/>
    </xf>
    <xf numFmtId="167" fontId="2" fillId="3" borderId="25" xfId="16" applyNumberFormat="1" applyFont="1" applyFill="1" applyBorder="1" applyAlignment="1">
      <alignment/>
    </xf>
    <xf numFmtId="0" fontId="2" fillId="4" borderId="26" xfId="0" applyFont="1" applyFill="1" applyBorder="1" applyAlignment="1">
      <alignment/>
    </xf>
    <xf numFmtId="165" fontId="2" fillId="4" borderId="27" xfId="19" applyNumberFormat="1" applyFont="1" applyFill="1" applyBorder="1" applyAlignment="1">
      <alignment/>
    </xf>
    <xf numFmtId="0" fontId="0" fillId="3" borderId="14" xfId="0" applyFont="1" applyFill="1" applyBorder="1" applyAlignment="1">
      <alignment horizontal="left" indent="1"/>
    </xf>
    <xf numFmtId="165" fontId="0" fillId="3" borderId="14" xfId="19" applyNumberFormat="1" applyFont="1" applyFill="1" applyBorder="1" applyAlignment="1">
      <alignment horizontal="left" indent="1"/>
    </xf>
    <xf numFmtId="0" fontId="2" fillId="4" borderId="21" xfId="0" applyFont="1" applyFill="1" applyBorder="1" applyAlignment="1">
      <alignment/>
    </xf>
    <xf numFmtId="165" fontId="2" fillId="4" borderId="22" xfId="19" applyNumberFormat="1" applyFont="1" applyFill="1" applyBorder="1" applyAlignment="1">
      <alignment/>
    </xf>
    <xf numFmtId="1" fontId="2" fillId="4" borderId="21" xfId="16" applyNumberFormat="1" applyFont="1" applyFill="1" applyBorder="1" applyAlignment="1">
      <alignment/>
    </xf>
    <xf numFmtId="1" fontId="2" fillId="4" borderId="28" xfId="16" applyNumberFormat="1" applyFont="1" applyFill="1" applyBorder="1" applyAlignment="1">
      <alignment/>
    </xf>
    <xf numFmtId="1" fontId="2" fillId="4" borderId="29" xfId="16" applyNumberFormat="1" applyFont="1" applyFill="1" applyBorder="1" applyAlignment="1">
      <alignment/>
    </xf>
    <xf numFmtId="0" fontId="0" fillId="3" borderId="30" xfId="0" applyFont="1" applyFill="1" applyBorder="1" applyAlignment="1">
      <alignment horizontal="left" indent="1"/>
    </xf>
    <xf numFmtId="165" fontId="0" fillId="3" borderId="30" xfId="19" applyNumberFormat="1" applyFont="1" applyFill="1" applyBorder="1" applyAlignment="1">
      <alignment horizontal="left" indent="1"/>
    </xf>
    <xf numFmtId="0" fontId="2" fillId="3" borderId="31" xfId="0" applyFont="1" applyFill="1" applyBorder="1" applyAlignment="1">
      <alignment/>
    </xf>
    <xf numFmtId="165" fontId="2" fillId="3" borderId="32" xfId="19" applyNumberFormat="1" applyFont="1" applyFill="1" applyBorder="1" applyAlignment="1">
      <alignment/>
    </xf>
    <xf numFmtId="167" fontId="0" fillId="3" borderId="33" xfId="16" applyNumberFormat="1" applyFill="1" applyBorder="1" applyAlignment="1">
      <alignment/>
    </xf>
    <xf numFmtId="167" fontId="0" fillId="3" borderId="34" xfId="16" applyNumberFormat="1" applyFill="1" applyBorder="1" applyAlignment="1">
      <alignment/>
    </xf>
    <xf numFmtId="167" fontId="0" fillId="3" borderId="35" xfId="16" applyNumberFormat="1" applyFill="1" applyBorder="1" applyAlignment="1">
      <alignment/>
    </xf>
    <xf numFmtId="0" fontId="0" fillId="3" borderId="11" xfId="0" applyFill="1" applyBorder="1" applyAlignment="1">
      <alignment horizontal="left" indent="1"/>
    </xf>
    <xf numFmtId="0" fontId="0" fillId="3" borderId="11" xfId="0" applyFill="1" applyBorder="1" applyAlignment="1">
      <alignment horizontal="left" indent="2"/>
    </xf>
    <xf numFmtId="0" fontId="0" fillId="3" borderId="36" xfId="0" applyFill="1" applyBorder="1" applyAlignment="1">
      <alignment horizontal="left" indent="1"/>
    </xf>
    <xf numFmtId="0" fontId="0" fillId="3" borderId="36" xfId="0" applyFont="1" applyFill="1" applyBorder="1" applyAlignment="1">
      <alignment horizontal="left" indent="1"/>
    </xf>
    <xf numFmtId="165" fontId="0" fillId="3" borderId="37" xfId="19" applyNumberFormat="1" applyFont="1" applyFill="1" applyBorder="1" applyAlignment="1">
      <alignment horizontal="left" indent="1"/>
    </xf>
    <xf numFmtId="167" fontId="0" fillId="0" borderId="33" xfId="16" applyNumberFormat="1" applyBorder="1" applyAlignment="1">
      <alignment/>
    </xf>
    <xf numFmtId="167" fontId="0" fillId="0" borderId="34" xfId="16" applyNumberFormat="1" applyBorder="1" applyAlignment="1">
      <alignment/>
    </xf>
    <xf numFmtId="167" fontId="0" fillId="0" borderId="35" xfId="16" applyNumberFormat="1" applyBorder="1" applyAlignment="1">
      <alignment/>
    </xf>
    <xf numFmtId="0" fontId="2" fillId="3" borderId="11" xfId="0" applyFont="1" applyFill="1" applyBorder="1" applyAlignment="1">
      <alignment/>
    </xf>
    <xf numFmtId="167" fontId="0" fillId="0" borderId="38" xfId="16" applyNumberFormat="1" applyBorder="1" applyAlignment="1">
      <alignment/>
    </xf>
    <xf numFmtId="167" fontId="0" fillId="0" borderId="39" xfId="16" applyNumberFormat="1" applyBorder="1" applyAlignment="1">
      <alignment/>
    </xf>
    <xf numFmtId="167" fontId="0" fillId="0" borderId="40" xfId="16" applyNumberFormat="1" applyBorder="1" applyAlignment="1">
      <alignment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8" fontId="0" fillId="0" borderId="0" xfId="0" applyNumberFormat="1" applyAlignment="1">
      <alignment/>
    </xf>
    <xf numFmtId="167" fontId="0" fillId="3" borderId="9" xfId="16" applyNumberFormat="1" applyFont="1" applyFill="1" applyBorder="1" applyAlignment="1">
      <alignment/>
    </xf>
    <xf numFmtId="167" fontId="0" fillId="3" borderId="0" xfId="16" applyNumberFormat="1" applyFont="1" applyFill="1" applyBorder="1" applyAlignment="1">
      <alignment/>
    </xf>
    <xf numFmtId="167" fontId="0" fillId="3" borderId="10" xfId="16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left" indent="1"/>
    </xf>
    <xf numFmtId="1" fontId="0" fillId="3" borderId="0" xfId="0" applyNumberFormat="1" applyFill="1" applyAlignment="1">
      <alignment/>
    </xf>
    <xf numFmtId="9" fontId="0" fillId="3" borderId="0" xfId="0" applyNumberFormat="1" applyFill="1" applyAlignment="1">
      <alignment/>
    </xf>
    <xf numFmtId="17" fontId="0" fillId="3" borderId="0" xfId="0" applyNumberFormat="1" applyFill="1" applyBorder="1" applyAlignment="1">
      <alignment/>
    </xf>
    <xf numFmtId="9" fontId="0" fillId="3" borderId="0" xfId="18" applyFont="1" applyFill="1" applyBorder="1" applyAlignment="1">
      <alignment/>
    </xf>
    <xf numFmtId="165" fontId="2" fillId="3" borderId="30" xfId="19" applyNumberFormat="1" applyFont="1" applyFill="1" applyBorder="1" applyAlignment="1">
      <alignment/>
    </xf>
    <xf numFmtId="167" fontId="0" fillId="3" borderId="42" xfId="16" applyNumberFormat="1" applyFill="1" applyBorder="1" applyAlignment="1">
      <alignment/>
    </xf>
    <xf numFmtId="167" fontId="0" fillId="3" borderId="42" xfId="16" applyNumberFormat="1" applyFont="1" applyFill="1" applyBorder="1" applyAlignment="1">
      <alignment/>
    </xf>
    <xf numFmtId="167" fontId="0" fillId="0" borderId="6" xfId="16" applyNumberFormat="1" applyBorder="1" applyAlignment="1">
      <alignment/>
    </xf>
    <xf numFmtId="167" fontId="0" fillId="0" borderId="43" xfId="16" applyNumberFormat="1" applyBorder="1" applyAlignment="1">
      <alignment/>
    </xf>
    <xf numFmtId="3" fontId="2" fillId="3" borderId="32" xfId="19" applyNumberFormat="1" applyFont="1" applyFill="1" applyBorder="1" applyAlignment="1">
      <alignment horizontal="center" vertical="center"/>
    </xf>
    <xf numFmtId="3" fontId="0" fillId="3" borderId="33" xfId="16" applyNumberFormat="1" applyFill="1" applyBorder="1" applyAlignment="1">
      <alignment horizontal="center" vertical="center"/>
    </xf>
    <xf numFmtId="3" fontId="0" fillId="3" borderId="34" xfId="16" applyNumberFormat="1" applyFill="1" applyBorder="1" applyAlignment="1">
      <alignment horizontal="center" vertical="center"/>
    </xf>
    <xf numFmtId="3" fontId="0" fillId="3" borderId="35" xfId="16" applyNumberFormat="1" applyFill="1" applyBorder="1" applyAlignment="1">
      <alignment horizontal="center" vertical="center"/>
    </xf>
    <xf numFmtId="3" fontId="0" fillId="3" borderId="4" xfId="19" applyNumberFormat="1" applyFill="1" applyBorder="1" applyAlignment="1">
      <alignment horizontal="center" vertical="center"/>
    </xf>
    <xf numFmtId="3" fontId="0" fillId="3" borderId="7" xfId="16" applyNumberFormat="1" applyFill="1" applyBorder="1" applyAlignment="1">
      <alignment horizontal="center" vertical="center"/>
    </xf>
    <xf numFmtId="3" fontId="0" fillId="3" borderId="1" xfId="16" applyNumberFormat="1" applyFill="1" applyBorder="1" applyAlignment="1">
      <alignment horizontal="center" vertical="center"/>
    </xf>
    <xf numFmtId="3" fontId="0" fillId="3" borderId="8" xfId="16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1" xfId="16" applyNumberFormat="1" applyFont="1" applyFill="1" applyBorder="1" applyAlignment="1">
      <alignment horizontal="center" vertical="center"/>
    </xf>
    <xf numFmtId="3" fontId="0" fillId="3" borderId="13" xfId="16" applyNumberFormat="1" applyFont="1" applyFill="1" applyBorder="1" applyAlignment="1">
      <alignment horizontal="center" vertical="center"/>
    </xf>
    <xf numFmtId="3" fontId="0" fillId="3" borderId="8" xfId="16" applyNumberFormat="1" applyFont="1" applyFill="1" applyBorder="1" applyAlignment="1">
      <alignment horizontal="center" vertical="center"/>
    </xf>
    <xf numFmtId="3" fontId="0" fillId="3" borderId="7" xfId="16" applyNumberFormat="1" applyFont="1" applyFill="1" applyBorder="1" applyAlignment="1">
      <alignment horizontal="center" vertical="center"/>
    </xf>
    <xf numFmtId="3" fontId="0" fillId="3" borderId="37" xfId="19" applyNumberFormat="1" applyFill="1" applyBorder="1" applyAlignment="1">
      <alignment horizontal="center" vertical="center"/>
    </xf>
    <xf numFmtId="3" fontId="0" fillId="3" borderId="38" xfId="16" applyNumberFormat="1" applyFont="1" applyFill="1" applyBorder="1" applyAlignment="1">
      <alignment horizontal="center" vertical="center"/>
    </xf>
    <xf numFmtId="3" fontId="0" fillId="3" borderId="39" xfId="16" applyNumberFormat="1" applyFont="1" applyFill="1" applyBorder="1" applyAlignment="1">
      <alignment horizontal="center" vertical="center"/>
    </xf>
    <xf numFmtId="3" fontId="0" fillId="3" borderId="40" xfId="16" applyNumberFormat="1" applyFont="1" applyFill="1" applyBorder="1" applyAlignment="1">
      <alignment horizontal="center" vertical="center"/>
    </xf>
    <xf numFmtId="3" fontId="0" fillId="3" borderId="39" xfId="0" applyNumberFormat="1" applyFill="1" applyBorder="1" applyAlignment="1">
      <alignment horizontal="center" vertical="center"/>
    </xf>
    <xf numFmtId="3" fontId="0" fillId="3" borderId="40" xfId="0" applyNumberFormat="1" applyFill="1" applyBorder="1" applyAlignment="1">
      <alignment horizontal="center" vertical="center"/>
    </xf>
    <xf numFmtId="3" fontId="0" fillId="3" borderId="38" xfId="0" applyNumberFormat="1" applyFill="1" applyBorder="1" applyAlignment="1">
      <alignment horizontal="center" vertical="center"/>
    </xf>
    <xf numFmtId="3" fontId="2" fillId="3" borderId="22" xfId="19" applyNumberFormat="1" applyFont="1" applyFill="1" applyBorder="1" applyAlignment="1">
      <alignment horizontal="center" vertical="center"/>
    </xf>
    <xf numFmtId="3" fontId="2" fillId="3" borderId="23" xfId="16" applyNumberFormat="1" applyFont="1" applyFill="1" applyBorder="1" applyAlignment="1">
      <alignment horizontal="center" vertical="center"/>
    </xf>
    <xf numFmtId="3" fontId="2" fillId="3" borderId="24" xfId="16" applyNumberFormat="1" applyFont="1" applyFill="1" applyBorder="1" applyAlignment="1">
      <alignment horizontal="center" vertical="center"/>
    </xf>
    <xf numFmtId="3" fontId="2" fillId="3" borderId="25" xfId="16" applyNumberFormat="1" applyFont="1" applyFill="1" applyBorder="1" applyAlignment="1">
      <alignment horizontal="center" vertical="center"/>
    </xf>
    <xf numFmtId="3" fontId="2" fillId="4" borderId="27" xfId="19" applyNumberFormat="1" applyFont="1" applyFill="1" applyBorder="1" applyAlignment="1">
      <alignment horizontal="center" vertical="center"/>
    </xf>
    <xf numFmtId="3" fontId="0" fillId="3" borderId="0" xfId="19" applyNumberFormat="1" applyFill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3" fontId="0" fillId="3" borderId="4" xfId="19" applyNumberFormat="1" applyFont="1" applyFill="1" applyBorder="1" applyAlignment="1">
      <alignment horizontal="center" vertical="center"/>
    </xf>
    <xf numFmtId="3" fontId="0" fillId="3" borderId="14" xfId="19" applyNumberFormat="1" applyFont="1" applyFill="1" applyBorder="1" applyAlignment="1">
      <alignment horizontal="center" vertical="center"/>
    </xf>
    <xf numFmtId="3" fontId="0" fillId="3" borderId="5" xfId="16" applyNumberFormat="1" applyFill="1" applyBorder="1" applyAlignment="1">
      <alignment horizontal="center" vertical="center"/>
    </xf>
    <xf numFmtId="3" fontId="0" fillId="3" borderId="2" xfId="16" applyNumberFormat="1" applyFill="1" applyBorder="1" applyAlignment="1">
      <alignment horizontal="center" vertical="center"/>
    </xf>
    <xf numFmtId="3" fontId="0" fillId="3" borderId="6" xfId="16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37" xfId="19" applyNumberFormat="1" applyFont="1" applyFill="1" applyBorder="1" applyAlignment="1">
      <alignment horizontal="center" vertical="center"/>
    </xf>
    <xf numFmtId="3" fontId="0" fillId="3" borderId="38" xfId="16" applyNumberFormat="1" applyFill="1" applyBorder="1" applyAlignment="1">
      <alignment horizontal="center" vertical="center"/>
    </xf>
    <xf numFmtId="3" fontId="0" fillId="3" borderId="39" xfId="16" applyNumberFormat="1" applyFill="1" applyBorder="1" applyAlignment="1">
      <alignment horizontal="center" vertical="center"/>
    </xf>
    <xf numFmtId="3" fontId="0" fillId="3" borderId="40" xfId="16" applyNumberForma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3" fontId="2" fillId="4" borderId="26" xfId="16" applyNumberFormat="1" applyFont="1" applyFill="1" applyBorder="1" applyAlignment="1">
      <alignment horizontal="center"/>
    </xf>
    <xf numFmtId="3" fontId="2" fillId="4" borderId="46" xfId="16" applyNumberFormat="1" applyFont="1" applyFill="1" applyBorder="1" applyAlignment="1">
      <alignment horizontal="center"/>
    </xf>
    <xf numFmtId="3" fontId="2" fillId="4" borderId="47" xfId="16" applyNumberFormat="1" applyFont="1" applyFill="1" applyBorder="1" applyAlignment="1">
      <alignment horizontal="center"/>
    </xf>
    <xf numFmtId="1" fontId="2" fillId="4" borderId="26" xfId="16" applyNumberFormat="1" applyFont="1" applyFill="1" applyBorder="1" applyAlignment="1">
      <alignment horizontal="center"/>
    </xf>
    <xf numFmtId="1" fontId="2" fillId="4" borderId="46" xfId="16" applyNumberFormat="1" applyFont="1" applyFill="1" applyBorder="1" applyAlignment="1">
      <alignment horizontal="center"/>
    </xf>
    <xf numFmtId="1" fontId="2" fillId="4" borderId="47" xfId="16" applyNumberFormat="1" applyFont="1" applyFill="1" applyBorder="1" applyAlignment="1">
      <alignment horizontal="center"/>
    </xf>
    <xf numFmtId="3" fontId="5" fillId="2" borderId="31" xfId="0" applyNumberFormat="1" applyFont="1" applyFill="1" applyBorder="1" applyAlignment="1">
      <alignment horizontal="center" vertical="center"/>
    </xf>
    <xf numFmtId="3" fontId="5" fillId="2" borderId="44" xfId="0" applyNumberFormat="1" applyFont="1" applyFill="1" applyBorder="1" applyAlignment="1">
      <alignment horizontal="center" vertical="center"/>
    </xf>
    <xf numFmtId="3" fontId="5" fillId="2" borderId="45" xfId="0" applyNumberFormat="1" applyFont="1" applyFill="1" applyBorder="1" applyAlignment="1">
      <alignment horizontal="center" vertical="center"/>
    </xf>
    <xf numFmtId="3" fontId="2" fillId="4" borderId="26" xfId="16" applyNumberFormat="1" applyFont="1" applyFill="1" applyBorder="1" applyAlignment="1">
      <alignment horizontal="center" vertical="center"/>
    </xf>
    <xf numFmtId="3" fontId="2" fillId="4" borderId="46" xfId="16" applyNumberFormat="1" applyFont="1" applyFill="1" applyBorder="1" applyAlignment="1">
      <alignment horizontal="center" vertical="center"/>
    </xf>
    <xf numFmtId="3" fontId="2" fillId="4" borderId="47" xfId="16" applyNumberFormat="1" applyFont="1" applyFill="1" applyBorder="1" applyAlignment="1">
      <alignment horizontal="center" vertical="center"/>
    </xf>
    <xf numFmtId="1" fontId="2" fillId="4" borderId="21" xfId="16" applyNumberFormat="1" applyFont="1" applyFill="1" applyBorder="1" applyAlignment="1">
      <alignment horizontal="center"/>
    </xf>
    <xf numFmtId="1" fontId="2" fillId="4" borderId="28" xfId="16" applyNumberFormat="1" applyFont="1" applyFill="1" applyBorder="1" applyAlignment="1">
      <alignment horizontal="center"/>
    </xf>
    <xf numFmtId="1" fontId="2" fillId="4" borderId="29" xfId="16" applyNumberFormat="1" applyFont="1" applyFill="1" applyBorder="1" applyAlignment="1">
      <alignment horizontal="center"/>
    </xf>
    <xf numFmtId="1" fontId="0" fillId="3" borderId="48" xfId="16" applyNumberFormat="1" applyFont="1" applyFill="1" applyBorder="1" applyAlignment="1">
      <alignment horizontal="center"/>
    </xf>
    <xf numFmtId="1" fontId="0" fillId="3" borderId="49" xfId="16" applyNumberFormat="1" applyFont="1" applyFill="1" applyBorder="1" applyAlignment="1">
      <alignment horizontal="center"/>
    </xf>
    <xf numFmtId="1" fontId="0" fillId="3" borderId="50" xfId="16" applyNumberFormat="1" applyFont="1" applyFill="1" applyBorder="1" applyAlignment="1">
      <alignment horizontal="center"/>
    </xf>
    <xf numFmtId="1" fontId="0" fillId="3" borderId="41" xfId="16" applyNumberFormat="1" applyFont="1" applyFill="1" applyBorder="1" applyAlignment="1">
      <alignment horizontal="center"/>
    </xf>
    <xf numFmtId="1" fontId="0" fillId="3" borderId="51" xfId="16" applyNumberFormat="1" applyFont="1" applyFill="1" applyBorder="1" applyAlignment="1">
      <alignment horizontal="center"/>
    </xf>
    <xf numFmtId="1" fontId="0" fillId="3" borderId="52" xfId="16" applyNumberFormat="1" applyFont="1" applyFill="1" applyBorder="1" applyAlignment="1">
      <alignment horizontal="center"/>
    </xf>
    <xf numFmtId="1" fontId="0" fillId="3" borderId="36" xfId="16" applyNumberFormat="1" applyFont="1" applyFill="1" applyBorder="1" applyAlignment="1">
      <alignment horizontal="center"/>
    </xf>
    <xf numFmtId="1" fontId="0" fillId="3" borderId="53" xfId="16" applyNumberFormat="1" applyFont="1" applyFill="1" applyBorder="1" applyAlignment="1">
      <alignment horizontal="center"/>
    </xf>
    <xf numFmtId="1" fontId="0" fillId="3" borderId="54" xfId="16" applyNumberFormat="1" applyFont="1" applyFill="1" applyBorder="1" applyAlignment="1">
      <alignment horizontal="center"/>
    </xf>
    <xf numFmtId="1" fontId="2" fillId="4" borderId="53" xfId="16" applyNumberFormat="1" applyFont="1" applyFill="1" applyBorder="1" applyAlignment="1">
      <alignment horizontal="center"/>
    </xf>
    <xf numFmtId="1" fontId="2" fillId="4" borderId="54" xfId="16" applyNumberFormat="1" applyFont="1" applyFill="1" applyBorder="1" applyAlignment="1">
      <alignment horizontal="center"/>
    </xf>
    <xf numFmtId="1" fontId="2" fillId="4" borderId="11" xfId="16" applyNumberFormat="1" applyFont="1" applyFill="1" applyBorder="1" applyAlignment="1">
      <alignment horizontal="center"/>
    </xf>
    <xf numFmtId="1" fontId="2" fillId="4" borderId="3" xfId="16" applyNumberFormat="1" applyFont="1" applyFill="1" applyBorder="1" applyAlignment="1">
      <alignment horizontal="center"/>
    </xf>
    <xf numFmtId="1" fontId="2" fillId="4" borderId="12" xfId="16" applyNumberFormat="1" applyFont="1" applyFill="1" applyBorder="1" applyAlignment="1">
      <alignment horizontal="center"/>
    </xf>
    <xf numFmtId="1" fontId="2" fillId="4" borderId="36" xfId="16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" fontId="0" fillId="3" borderId="11" xfId="16" applyNumberFormat="1" applyFont="1" applyFill="1" applyBorder="1" applyAlignment="1">
      <alignment horizontal="center"/>
    </xf>
    <xf numFmtId="1" fontId="0" fillId="3" borderId="3" xfId="16" applyNumberFormat="1" applyFont="1" applyFill="1" applyBorder="1" applyAlignment="1">
      <alignment horizontal="center"/>
    </xf>
    <xf numFmtId="1" fontId="0" fillId="3" borderId="12" xfId="16" applyNumberFormat="1" applyFont="1" applyFill="1" applyBorder="1" applyAlignment="1">
      <alignment horizontal="center"/>
    </xf>
    <xf numFmtId="3" fontId="2" fillId="4" borderId="11" xfId="16" applyNumberFormat="1" applyFont="1" applyFill="1" applyBorder="1" applyAlignment="1">
      <alignment horizontal="center"/>
    </xf>
    <xf numFmtId="3" fontId="2" fillId="4" borderId="3" xfId="16" applyNumberFormat="1" applyFont="1" applyFill="1" applyBorder="1" applyAlignment="1">
      <alignment horizontal="center"/>
    </xf>
    <xf numFmtId="3" fontId="2" fillId="4" borderId="12" xfId="16" applyNumberFormat="1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2" sqref="A22"/>
    </sheetView>
  </sheetViews>
  <sheetFormatPr defaultColWidth="9.140625" defaultRowHeight="12.75"/>
  <cols>
    <col min="1" max="1" width="39.140625" style="0" customWidth="1"/>
    <col min="2" max="2" width="16.28125" style="0" customWidth="1"/>
    <col min="3" max="5" width="7.00390625" style="0" customWidth="1"/>
    <col min="6" max="6" width="10.421875" style="0" customWidth="1"/>
    <col min="7" max="7" width="7.00390625" style="0" customWidth="1"/>
    <col min="8" max="11" width="8.00390625" style="0" bestFit="1" customWidth="1"/>
    <col min="12" max="17" width="7.00390625" style="0" customWidth="1"/>
    <col min="18" max="18" width="10.140625" style="0" bestFit="1" customWidth="1"/>
    <col min="19" max="22" width="7.00390625" style="0" customWidth="1"/>
    <col min="25" max="25" width="13.140625" style="0" bestFit="1" customWidth="1"/>
  </cols>
  <sheetData>
    <row r="1" spans="1:24" ht="23.25">
      <c r="A1" s="13" t="s">
        <v>53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3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5">
      <c r="A3" s="12"/>
      <c r="B3" s="12"/>
      <c r="C3" s="207">
        <v>2007</v>
      </c>
      <c r="D3" s="208"/>
      <c r="E3" s="208"/>
      <c r="F3" s="209"/>
      <c r="G3" s="207">
        <v>2008</v>
      </c>
      <c r="H3" s="208"/>
      <c r="I3" s="208"/>
      <c r="J3" s="209"/>
      <c r="K3" s="207">
        <v>2009</v>
      </c>
      <c r="L3" s="208"/>
      <c r="M3" s="208"/>
      <c r="N3" s="209"/>
      <c r="O3" s="207">
        <v>2010</v>
      </c>
      <c r="P3" s="208"/>
      <c r="Q3" s="208"/>
      <c r="R3" s="209"/>
      <c r="S3" s="207">
        <v>2011</v>
      </c>
      <c r="T3" s="208"/>
      <c r="U3" s="208"/>
      <c r="V3" s="209"/>
      <c r="W3" s="12"/>
      <c r="X3" s="12"/>
    </row>
    <row r="4" spans="2:24" ht="13.5" thickBot="1">
      <c r="B4" s="70" t="s">
        <v>72</v>
      </c>
      <c r="C4" s="25" t="s">
        <v>3</v>
      </c>
      <c r="D4" s="3" t="s">
        <v>4</v>
      </c>
      <c r="E4" s="3" t="s">
        <v>5</v>
      </c>
      <c r="F4" s="26" t="s">
        <v>6</v>
      </c>
      <c r="G4" s="25" t="s">
        <v>3</v>
      </c>
      <c r="H4" s="3" t="s">
        <v>4</v>
      </c>
      <c r="I4" s="3" t="s">
        <v>5</v>
      </c>
      <c r="J4" s="26" t="s">
        <v>6</v>
      </c>
      <c r="K4" s="25" t="s">
        <v>3</v>
      </c>
      <c r="L4" s="3" t="s">
        <v>4</v>
      </c>
      <c r="M4" s="3" t="s">
        <v>5</v>
      </c>
      <c r="N4" s="26" t="s">
        <v>6</v>
      </c>
      <c r="O4" s="25" t="s">
        <v>3</v>
      </c>
      <c r="P4" s="3" t="s">
        <v>4</v>
      </c>
      <c r="Q4" s="3" t="s">
        <v>5</v>
      </c>
      <c r="R4" s="26" t="s">
        <v>6</v>
      </c>
      <c r="S4" s="25" t="s">
        <v>3</v>
      </c>
      <c r="T4" s="3" t="s">
        <v>4</v>
      </c>
      <c r="U4" s="3" t="s">
        <v>5</v>
      </c>
      <c r="V4" s="26" t="s">
        <v>6</v>
      </c>
      <c r="W4" s="12"/>
      <c r="X4" s="12"/>
    </row>
    <row r="5" spans="1:24" ht="13.5" thickBot="1">
      <c r="A5" s="119" t="s">
        <v>55</v>
      </c>
      <c r="B5" s="158"/>
      <c r="C5" s="159"/>
      <c r="D5" s="160"/>
      <c r="E5" s="160"/>
      <c r="F5" s="161"/>
      <c r="G5" s="159"/>
      <c r="H5" s="160"/>
      <c r="I5" s="160"/>
      <c r="J5" s="161"/>
      <c r="K5" s="159"/>
      <c r="L5" s="160"/>
      <c r="M5" s="160"/>
      <c r="N5" s="161"/>
      <c r="O5" s="159"/>
      <c r="P5" s="160"/>
      <c r="Q5" s="160"/>
      <c r="R5" s="161"/>
      <c r="S5" s="159"/>
      <c r="T5" s="160"/>
      <c r="U5" s="160"/>
      <c r="V5" s="161"/>
      <c r="W5" s="12"/>
      <c r="X5" s="12"/>
    </row>
    <row r="6" spans="1:24" ht="13.5" thickBot="1">
      <c r="A6" s="124" t="s">
        <v>54</v>
      </c>
      <c r="B6" s="158"/>
      <c r="C6" s="164"/>
      <c r="D6" s="164"/>
      <c r="E6" s="164"/>
      <c r="F6" s="165"/>
      <c r="G6" s="166"/>
      <c r="H6" s="167"/>
      <c r="I6" s="167"/>
      <c r="J6" s="168"/>
      <c r="K6" s="166"/>
      <c r="L6" s="167"/>
      <c r="M6" s="167"/>
      <c r="N6" s="168"/>
      <c r="O6" s="166"/>
      <c r="P6" s="167"/>
      <c r="Q6" s="167"/>
      <c r="R6" s="168"/>
      <c r="S6" s="166"/>
      <c r="T6" s="167"/>
      <c r="U6" s="167"/>
      <c r="V6" s="168"/>
      <c r="W6" s="12"/>
      <c r="X6" s="12"/>
    </row>
    <row r="7" spans="1:24" ht="13.5" thickBot="1">
      <c r="A7" s="125" t="s">
        <v>71</v>
      </c>
      <c r="B7" s="158">
        <f>1089+675</f>
        <v>1764</v>
      </c>
      <c r="C7" s="164"/>
      <c r="D7" s="169"/>
      <c r="E7" s="170"/>
      <c r="F7" s="165"/>
      <c r="G7" s="168">
        <f>+B7/5</f>
        <v>352.8</v>
      </c>
      <c r="H7" s="164">
        <f>+G7</f>
        <v>352.8</v>
      </c>
      <c r="I7" s="164">
        <f>+G7</f>
        <v>352.8</v>
      </c>
      <c r="J7" s="167">
        <f>+I7</f>
        <v>352.8</v>
      </c>
      <c r="K7" s="168">
        <f>+J7</f>
        <v>352.8</v>
      </c>
      <c r="O7" s="171"/>
      <c r="P7" s="167"/>
      <c r="Q7" s="167"/>
      <c r="R7" s="168"/>
      <c r="S7" s="166"/>
      <c r="T7" s="167"/>
      <c r="U7" s="167"/>
      <c r="V7" s="168"/>
      <c r="W7" s="98">
        <f>SUM(C7:V7)-B7</f>
        <v>0</v>
      </c>
      <c r="X7" s="12"/>
    </row>
    <row r="8" spans="1:24" ht="13.5" thickBot="1">
      <c r="A8" s="125" t="s">
        <v>78</v>
      </c>
      <c r="B8" s="158">
        <f>350</f>
        <v>350</v>
      </c>
      <c r="C8" s="164"/>
      <c r="D8" s="169"/>
      <c r="E8" s="164"/>
      <c r="F8" s="165">
        <f>+B8/5</f>
        <v>70</v>
      </c>
      <c r="G8" s="164">
        <f>+F8</f>
        <v>70</v>
      </c>
      <c r="H8" s="164">
        <f>+F8</f>
        <v>70</v>
      </c>
      <c r="I8" s="167">
        <f>+H8</f>
        <v>70</v>
      </c>
      <c r="J8" s="168">
        <f>+I8</f>
        <v>70</v>
      </c>
      <c r="K8" s="169"/>
      <c r="L8" s="167"/>
      <c r="M8" s="167"/>
      <c r="N8" s="168"/>
      <c r="O8" s="171"/>
      <c r="P8" s="167"/>
      <c r="Q8" s="167"/>
      <c r="R8" s="168"/>
      <c r="S8" s="166"/>
      <c r="T8" s="167"/>
      <c r="U8" s="167"/>
      <c r="V8" s="168"/>
      <c r="W8" s="98">
        <f>SUM(C8:V8)-B8</f>
        <v>0</v>
      </c>
      <c r="X8" s="12"/>
    </row>
    <row r="9" spans="1:24" ht="13.5" thickBot="1">
      <c r="A9" s="125" t="s">
        <v>111</v>
      </c>
      <c r="B9" s="158">
        <f>952</f>
        <v>952</v>
      </c>
      <c r="C9" s="164"/>
      <c r="D9" s="169"/>
      <c r="E9" s="164"/>
      <c r="F9" s="165"/>
      <c r="G9" s="164">
        <f>+B9/5</f>
        <v>190.4</v>
      </c>
      <c r="H9" s="164">
        <f>+G9</f>
        <v>190.4</v>
      </c>
      <c r="I9" s="164">
        <f>+G9</f>
        <v>190.4</v>
      </c>
      <c r="J9" s="168">
        <f aca="true" t="shared" si="0" ref="J9:K12">+I9</f>
        <v>190.4</v>
      </c>
      <c r="K9" s="167">
        <f t="shared" si="0"/>
        <v>190.4</v>
      </c>
      <c r="L9" s="167"/>
      <c r="M9" s="167"/>
      <c r="N9" s="168"/>
      <c r="O9" s="171"/>
      <c r="P9" s="167"/>
      <c r="Q9" s="167"/>
      <c r="R9" s="168"/>
      <c r="S9" s="166"/>
      <c r="T9" s="167"/>
      <c r="U9" s="167"/>
      <c r="V9" s="168"/>
      <c r="W9" s="98">
        <f>SUM(C9:V9)-B9</f>
        <v>0</v>
      </c>
      <c r="X9" s="12"/>
    </row>
    <row r="10" spans="1:24" ht="13.5" thickBot="1">
      <c r="A10" s="125" t="s">
        <v>121</v>
      </c>
      <c r="B10" s="158">
        <f>(805+318)*80%</f>
        <v>898.4000000000001</v>
      </c>
      <c r="C10" s="164"/>
      <c r="D10" s="164"/>
      <c r="E10" s="164"/>
      <c r="F10" s="165"/>
      <c r="G10" s="164"/>
      <c r="H10" s="168">
        <f>+B10/4</f>
        <v>224.60000000000002</v>
      </c>
      <c r="I10" s="164">
        <f aca="true" t="shared" si="1" ref="I10:K11">+H10</f>
        <v>224.60000000000002</v>
      </c>
      <c r="J10" s="167">
        <f t="shared" si="1"/>
        <v>224.60000000000002</v>
      </c>
      <c r="K10" s="167">
        <f t="shared" si="1"/>
        <v>224.60000000000002</v>
      </c>
      <c r="N10" s="168"/>
      <c r="O10" s="171"/>
      <c r="P10" s="167"/>
      <c r="Q10" s="167"/>
      <c r="R10" s="168"/>
      <c r="S10" s="166"/>
      <c r="T10" s="167"/>
      <c r="U10" s="167"/>
      <c r="V10" s="168"/>
      <c r="W10" s="98">
        <f>SUM(C10:V10)-B10</f>
        <v>0</v>
      </c>
      <c r="X10" s="12"/>
    </row>
    <row r="11" spans="1:24" ht="13.5" thickBot="1">
      <c r="A11" s="125" t="s">
        <v>120</v>
      </c>
      <c r="B11" s="158">
        <f>936*50%</f>
        <v>468</v>
      </c>
      <c r="C11" s="164"/>
      <c r="D11" s="164"/>
      <c r="E11" s="169"/>
      <c r="F11" s="165"/>
      <c r="G11" s="164">
        <f>+B11/6</f>
        <v>78</v>
      </c>
      <c r="H11" s="164">
        <f>+G11</f>
        <v>78</v>
      </c>
      <c r="I11" s="167">
        <f t="shared" si="1"/>
        <v>78</v>
      </c>
      <c r="J11" s="168">
        <f t="shared" si="1"/>
        <v>78</v>
      </c>
      <c r="K11" s="167">
        <f t="shared" si="1"/>
        <v>78</v>
      </c>
      <c r="L11" s="167">
        <f>+K11</f>
        <v>78</v>
      </c>
      <c r="Q11" s="167"/>
      <c r="R11" s="168"/>
      <c r="S11" s="166"/>
      <c r="T11" s="167"/>
      <c r="U11" s="167"/>
      <c r="V11" s="168"/>
      <c r="W11" s="98">
        <f>SUM(C11:V11)-B11</f>
        <v>0</v>
      </c>
      <c r="X11" s="12"/>
    </row>
    <row r="12" spans="1:24" ht="13.5" thickBot="1">
      <c r="A12" s="125" t="s">
        <v>122</v>
      </c>
      <c r="B12" s="158">
        <v>536</v>
      </c>
      <c r="C12" s="164"/>
      <c r="D12" s="164"/>
      <c r="E12" s="169"/>
      <c r="F12" s="165"/>
      <c r="G12" s="169"/>
      <c r="H12" s="164"/>
      <c r="I12" s="164">
        <f>+B12/6</f>
        <v>89.33333333333333</v>
      </c>
      <c r="J12" s="168">
        <f t="shared" si="0"/>
        <v>89.33333333333333</v>
      </c>
      <c r="K12" s="167">
        <f t="shared" si="0"/>
        <v>89.33333333333333</v>
      </c>
      <c r="L12" s="167">
        <f>+K12</f>
        <v>89.33333333333333</v>
      </c>
      <c r="M12" s="167">
        <f>+L12</f>
        <v>89.33333333333333</v>
      </c>
      <c r="N12" s="168">
        <f>+M12</f>
        <v>89.33333333333333</v>
      </c>
      <c r="O12" s="171"/>
      <c r="P12" s="167"/>
      <c r="Q12" s="167"/>
      <c r="R12" s="168"/>
      <c r="S12" s="166"/>
      <c r="T12" s="167"/>
      <c r="U12" s="167"/>
      <c r="V12" s="168"/>
      <c r="W12" s="98"/>
      <c r="X12" s="12"/>
    </row>
    <row r="13" spans="1:24" s="1" customFormat="1" ht="12.75">
      <c r="A13" s="96" t="s">
        <v>73</v>
      </c>
      <c r="B13" s="158">
        <v>200</v>
      </c>
      <c r="C13" s="164"/>
      <c r="D13" s="172">
        <f>+B13/8</f>
        <v>25</v>
      </c>
      <c r="E13" s="172">
        <f>+D13</f>
        <v>25</v>
      </c>
      <c r="F13" s="165">
        <f aca="true" t="shared" si="2" ref="F13:K13">+E13</f>
        <v>25</v>
      </c>
      <c r="G13" s="172">
        <f t="shared" si="2"/>
        <v>25</v>
      </c>
      <c r="H13" s="172">
        <f t="shared" si="2"/>
        <v>25</v>
      </c>
      <c r="I13" s="172">
        <f t="shared" si="2"/>
        <v>25</v>
      </c>
      <c r="J13" s="168">
        <f t="shared" si="2"/>
        <v>25</v>
      </c>
      <c r="K13" s="172">
        <f t="shared" si="2"/>
        <v>25</v>
      </c>
      <c r="L13" s="172"/>
      <c r="M13" s="172"/>
      <c r="N13" s="168"/>
      <c r="O13" s="173"/>
      <c r="P13" s="172"/>
      <c r="Q13" s="172"/>
      <c r="R13" s="174"/>
      <c r="S13" s="175"/>
      <c r="T13" s="172"/>
      <c r="U13" s="172"/>
      <c r="V13" s="174"/>
      <c r="W13" s="98">
        <f>SUM(D13:V13)-B13</f>
        <v>0</v>
      </c>
      <c r="X13" s="15"/>
    </row>
    <row r="14" spans="1:24" ht="13.5" thickBot="1">
      <c r="A14" s="126"/>
      <c r="B14" s="176"/>
      <c r="C14" s="177"/>
      <c r="D14" s="178"/>
      <c r="E14" s="178"/>
      <c r="F14" s="179"/>
      <c r="G14" s="177"/>
      <c r="H14" s="178"/>
      <c r="I14" s="180"/>
      <c r="J14" s="181"/>
      <c r="K14" s="182"/>
      <c r="L14" s="180"/>
      <c r="M14" s="180"/>
      <c r="N14" s="181"/>
      <c r="O14" s="182"/>
      <c r="P14" s="180"/>
      <c r="Q14" s="180"/>
      <c r="R14" s="181"/>
      <c r="S14" s="182"/>
      <c r="T14" s="180"/>
      <c r="U14" s="180"/>
      <c r="V14" s="181"/>
      <c r="W14" s="12"/>
      <c r="X14" s="12"/>
    </row>
    <row r="15" spans="1:24" s="94" customFormat="1" ht="13.5" thickBot="1">
      <c r="A15" s="103" t="s">
        <v>67</v>
      </c>
      <c r="B15" s="183">
        <f>SUM(B7:B14)</f>
        <v>5168.4</v>
      </c>
      <c r="C15" s="184">
        <f aca="true" t="shared" si="3" ref="C15:V15">SUM(C6:C14)</f>
        <v>0</v>
      </c>
      <c r="D15" s="185">
        <f t="shared" si="3"/>
        <v>25</v>
      </c>
      <c r="E15" s="185">
        <f t="shared" si="3"/>
        <v>25</v>
      </c>
      <c r="F15" s="186">
        <f t="shared" si="3"/>
        <v>95</v>
      </c>
      <c r="G15" s="184">
        <f t="shared" si="3"/>
        <v>716.2</v>
      </c>
      <c r="H15" s="185">
        <f t="shared" si="3"/>
        <v>940.8000000000001</v>
      </c>
      <c r="I15" s="185">
        <f t="shared" si="3"/>
        <v>1030.1333333333334</v>
      </c>
      <c r="J15" s="186">
        <f t="shared" si="3"/>
        <v>1030.1333333333334</v>
      </c>
      <c r="K15" s="184">
        <f t="shared" si="3"/>
        <v>960.1333333333334</v>
      </c>
      <c r="L15" s="185">
        <f t="shared" si="3"/>
        <v>167.33333333333331</v>
      </c>
      <c r="M15" s="185">
        <f t="shared" si="3"/>
        <v>89.33333333333333</v>
      </c>
      <c r="N15" s="186">
        <f t="shared" si="3"/>
        <v>89.33333333333333</v>
      </c>
      <c r="O15" s="184">
        <f t="shared" si="3"/>
        <v>0</v>
      </c>
      <c r="P15" s="185">
        <f t="shared" si="3"/>
        <v>0</v>
      </c>
      <c r="Q15" s="185">
        <f t="shared" si="3"/>
        <v>0</v>
      </c>
      <c r="R15" s="186">
        <f t="shared" si="3"/>
        <v>0</v>
      </c>
      <c r="S15" s="184">
        <f t="shared" si="3"/>
        <v>0</v>
      </c>
      <c r="T15" s="185">
        <f t="shared" si="3"/>
        <v>0</v>
      </c>
      <c r="U15" s="185">
        <f t="shared" si="3"/>
        <v>0</v>
      </c>
      <c r="V15" s="186">
        <f t="shared" si="3"/>
        <v>0</v>
      </c>
      <c r="W15" s="93"/>
      <c r="X15" s="93"/>
    </row>
    <row r="16" spans="1:24" ht="13.5" thickBot="1">
      <c r="A16" s="108" t="s">
        <v>68</v>
      </c>
      <c r="B16" s="187"/>
      <c r="C16" s="219">
        <f>SUM(C15:F15)</f>
        <v>145</v>
      </c>
      <c r="D16" s="220"/>
      <c r="E16" s="220"/>
      <c r="F16" s="221"/>
      <c r="G16" s="219">
        <f>SUM(G15:J15)</f>
        <v>3717.2666666666664</v>
      </c>
      <c r="H16" s="220"/>
      <c r="I16" s="220"/>
      <c r="J16" s="221"/>
      <c r="K16" s="219">
        <f>SUM(K15:N15)</f>
        <v>1306.1333333333332</v>
      </c>
      <c r="L16" s="220"/>
      <c r="M16" s="220"/>
      <c r="N16" s="220"/>
      <c r="O16" s="219">
        <f>SUM(O15:R15)</f>
        <v>0</v>
      </c>
      <c r="P16" s="220"/>
      <c r="Q16" s="220"/>
      <c r="R16" s="221"/>
      <c r="S16" s="220">
        <f>SUM(S15:V15)</f>
        <v>0</v>
      </c>
      <c r="T16" s="220"/>
      <c r="U16" s="220"/>
      <c r="V16" s="221"/>
      <c r="W16" s="12"/>
      <c r="X16" s="12"/>
    </row>
    <row r="17" spans="1:24" ht="24" customHeight="1" thickBot="1">
      <c r="A17" s="12"/>
      <c r="B17" s="188"/>
      <c r="C17" s="189"/>
      <c r="D17" s="190"/>
      <c r="E17" s="190"/>
      <c r="F17" s="191"/>
      <c r="G17" s="189"/>
      <c r="H17" s="190"/>
      <c r="I17" s="190"/>
      <c r="J17" s="191"/>
      <c r="K17" s="189"/>
      <c r="L17" s="190"/>
      <c r="M17" s="190"/>
      <c r="N17" s="191"/>
      <c r="O17" s="189"/>
      <c r="P17" s="190"/>
      <c r="Q17" s="190"/>
      <c r="R17" s="191"/>
      <c r="S17" s="189"/>
      <c r="T17" s="190"/>
      <c r="U17" s="190"/>
      <c r="V17" s="191"/>
      <c r="W17" s="12"/>
      <c r="X17" s="12"/>
    </row>
    <row r="18" spans="1:24" ht="15">
      <c r="A18" s="12"/>
      <c r="B18" s="188"/>
      <c r="C18" s="216">
        <v>2007</v>
      </c>
      <c r="D18" s="217"/>
      <c r="E18" s="217"/>
      <c r="F18" s="218"/>
      <c r="G18" s="216">
        <v>2008</v>
      </c>
      <c r="H18" s="217"/>
      <c r="I18" s="217"/>
      <c r="J18" s="218"/>
      <c r="K18" s="216">
        <v>2009</v>
      </c>
      <c r="L18" s="217"/>
      <c r="M18" s="217"/>
      <c r="N18" s="218"/>
      <c r="O18" s="216">
        <v>2010</v>
      </c>
      <c r="P18" s="217"/>
      <c r="Q18" s="217"/>
      <c r="R18" s="218"/>
      <c r="S18" s="216">
        <v>2011</v>
      </c>
      <c r="T18" s="217"/>
      <c r="U18" s="217"/>
      <c r="V18" s="218"/>
      <c r="W18" s="12"/>
      <c r="X18" s="12"/>
    </row>
    <row r="19" spans="1:24" ht="13.5" thickBot="1">
      <c r="A19" s="12"/>
      <c r="B19" s="188"/>
      <c r="C19" s="192" t="s">
        <v>3</v>
      </c>
      <c r="D19" s="193" t="s">
        <v>4</v>
      </c>
      <c r="E19" s="193" t="s">
        <v>5</v>
      </c>
      <c r="F19" s="194" t="s">
        <v>6</v>
      </c>
      <c r="G19" s="192" t="s">
        <v>3</v>
      </c>
      <c r="H19" s="193" t="s">
        <v>4</v>
      </c>
      <c r="I19" s="193" t="s">
        <v>5</v>
      </c>
      <c r="J19" s="194" t="s">
        <v>6</v>
      </c>
      <c r="K19" s="192" t="s">
        <v>3</v>
      </c>
      <c r="L19" s="193" t="s">
        <v>4</v>
      </c>
      <c r="M19" s="193" t="s">
        <v>5</v>
      </c>
      <c r="N19" s="194" t="s">
        <v>6</v>
      </c>
      <c r="O19" s="192" t="s">
        <v>3</v>
      </c>
      <c r="P19" s="193" t="s">
        <v>4</v>
      </c>
      <c r="Q19" s="193" t="s">
        <v>5</v>
      </c>
      <c r="R19" s="194" t="s">
        <v>6</v>
      </c>
      <c r="S19" s="192" t="s">
        <v>3</v>
      </c>
      <c r="T19" s="193" t="s">
        <v>4</v>
      </c>
      <c r="U19" s="193" t="s">
        <v>5</v>
      </c>
      <c r="V19" s="194" t="s">
        <v>6</v>
      </c>
      <c r="W19" s="12"/>
      <c r="X19" s="12"/>
    </row>
    <row r="20" spans="1:24" ht="12.75">
      <c r="A20" s="119" t="s">
        <v>56</v>
      </c>
      <c r="B20" s="158"/>
      <c r="C20" s="159"/>
      <c r="D20" s="160"/>
      <c r="E20" s="160"/>
      <c r="F20" s="161"/>
      <c r="G20" s="159"/>
      <c r="H20" s="160"/>
      <c r="I20" s="160"/>
      <c r="J20" s="161"/>
      <c r="K20" s="159"/>
      <c r="L20" s="160"/>
      <c r="M20" s="160"/>
      <c r="N20" s="161"/>
      <c r="O20" s="159"/>
      <c r="P20" s="160"/>
      <c r="Q20" s="160"/>
      <c r="R20" s="161"/>
      <c r="S20" s="159"/>
      <c r="T20" s="160"/>
      <c r="U20" s="160"/>
      <c r="V20" s="161"/>
      <c r="W20" s="12"/>
      <c r="X20" s="12"/>
    </row>
    <row r="21" spans="1:24" ht="12.75">
      <c r="A21" s="124" t="s">
        <v>126</v>
      </c>
      <c r="B21" s="162"/>
      <c r="C21" s="163">
        <f>+'Ricavi Resort'!B30</f>
        <v>0</v>
      </c>
      <c r="D21" s="164">
        <f>+'Ricavi Resort'!C30</f>
        <v>0</v>
      </c>
      <c r="E21" s="164">
        <f>+'Ricavi Resort'!D30</f>
        <v>0</v>
      </c>
      <c r="F21" s="165">
        <f>+'Ricavi Resort'!E30</f>
        <v>0</v>
      </c>
      <c r="G21" s="166">
        <f>+'Ricavi Resort'!F30</f>
        <v>0</v>
      </c>
      <c r="H21" s="167">
        <f>+'Ricavi Resort'!G30</f>
        <v>0</v>
      </c>
      <c r="I21" s="167">
        <f>+'Ricavi Resort'!H30</f>
        <v>0</v>
      </c>
      <c r="J21" s="168">
        <f>+'Ricavi Resort'!I30</f>
        <v>0</v>
      </c>
      <c r="K21" s="166">
        <f>+'Ricavi Resort'!J30</f>
        <v>35</v>
      </c>
      <c r="L21" s="167">
        <f>+'Ricavi Resort'!K30</f>
        <v>35</v>
      </c>
      <c r="M21" s="167">
        <f>+'Ricavi Resort'!L30</f>
        <v>35</v>
      </c>
      <c r="N21" s="168">
        <f>+'Ricavi Resort'!M30</f>
        <v>35</v>
      </c>
      <c r="O21" s="166">
        <f>+'Ricavi Resort'!N30</f>
        <v>40</v>
      </c>
      <c r="P21" s="167">
        <f>+'Ricavi Resort'!O30</f>
        <v>40</v>
      </c>
      <c r="Q21" s="167">
        <f>+'Ricavi Resort'!P30</f>
        <v>40</v>
      </c>
      <c r="R21" s="168">
        <f>+'Ricavi Resort'!Q30</f>
        <v>40</v>
      </c>
      <c r="S21" s="166">
        <f>+'Ricavi Resort'!R30</f>
        <v>45</v>
      </c>
      <c r="T21" s="167">
        <f>+'Ricavi Resort'!S30</f>
        <v>45</v>
      </c>
      <c r="U21" s="167">
        <f>+'Ricavi Resort'!T30</f>
        <v>45</v>
      </c>
      <c r="V21" s="168">
        <f>+'Ricavi Resort'!U30</f>
        <v>45</v>
      </c>
      <c r="W21" s="12"/>
      <c r="X21" s="12"/>
    </row>
    <row r="22" spans="1:24" ht="12.75">
      <c r="A22" s="124" t="s">
        <v>94</v>
      </c>
      <c r="B22" s="162"/>
      <c r="C22" s="163"/>
      <c r="D22" s="164"/>
      <c r="E22" s="166">
        <f>+Enoteca!D40</f>
        <v>0</v>
      </c>
      <c r="F22" s="166">
        <f>+Enoteca!E40</f>
        <v>0</v>
      </c>
      <c r="G22" s="166">
        <f>+Enoteca!F40</f>
        <v>0</v>
      </c>
      <c r="H22" s="166">
        <f>+Enoteca!G40</f>
        <v>5</v>
      </c>
      <c r="I22" s="166">
        <f>+Enoteca!H40</f>
        <v>5</v>
      </c>
      <c r="J22" s="166">
        <f>+Enoteca!I40</f>
        <v>5</v>
      </c>
      <c r="K22" s="166">
        <f>+Enoteca!J40</f>
        <v>7</v>
      </c>
      <c r="L22" s="166">
        <f>+Enoteca!K40</f>
        <v>7</v>
      </c>
      <c r="M22" s="166">
        <f>+Enoteca!L40</f>
        <v>7</v>
      </c>
      <c r="N22" s="166">
        <f>+Enoteca!M40</f>
        <v>7</v>
      </c>
      <c r="O22" s="166">
        <f>+Enoteca!N40</f>
        <v>9</v>
      </c>
      <c r="P22" s="166">
        <f>+Enoteca!O40</f>
        <v>9</v>
      </c>
      <c r="Q22" s="166">
        <f>+Enoteca!P40</f>
        <v>9</v>
      </c>
      <c r="R22" s="166">
        <f>+Enoteca!Q40</f>
        <v>9</v>
      </c>
      <c r="S22" s="166">
        <f>+Enoteca!R40</f>
        <v>12</v>
      </c>
      <c r="T22" s="166">
        <f>+Enoteca!S40</f>
        <v>12</v>
      </c>
      <c r="U22" s="166">
        <f>+Enoteca!T40</f>
        <v>12</v>
      </c>
      <c r="V22" s="166">
        <f>+Enoteca!U40</f>
        <v>12</v>
      </c>
      <c r="W22" s="12"/>
      <c r="X22" s="12"/>
    </row>
    <row r="23" spans="1:24" ht="12.75">
      <c r="A23" s="124" t="s">
        <v>58</v>
      </c>
      <c r="B23" s="162"/>
      <c r="C23" s="163">
        <f>+'Ricavi rist'!B51</f>
        <v>0</v>
      </c>
      <c r="D23" s="164">
        <f>+'Ricavi rist'!C51</f>
        <v>0</v>
      </c>
      <c r="E23" s="164">
        <f>+'Ricavi rist'!D51</f>
        <v>0</v>
      </c>
      <c r="F23" s="165">
        <f>+'Ricavi rist'!E51</f>
        <v>0</v>
      </c>
      <c r="G23" s="166">
        <f>+'Ricavi rist'!F51</f>
        <v>0</v>
      </c>
      <c r="H23" s="167">
        <f>+'Ricavi rist'!G51</f>
        <v>0</v>
      </c>
      <c r="I23" s="167">
        <f>+'Ricavi rist'!H51</f>
        <v>40</v>
      </c>
      <c r="J23" s="168">
        <f>+'Ricavi rist'!I51</f>
        <v>40</v>
      </c>
      <c r="K23" s="166">
        <f>+'Ricavi rist'!J51</f>
        <v>45</v>
      </c>
      <c r="L23" s="167">
        <f>+'Ricavi rist'!K51</f>
        <v>45</v>
      </c>
      <c r="M23" s="167">
        <f>+'Ricavi rist'!L51</f>
        <v>45</v>
      </c>
      <c r="N23" s="168">
        <f>+'Ricavi rist'!M51</f>
        <v>45</v>
      </c>
      <c r="O23" s="166">
        <f>+'Ricavi rist'!N51</f>
        <v>50</v>
      </c>
      <c r="P23" s="167">
        <f>+'Ricavi rist'!O51</f>
        <v>50</v>
      </c>
      <c r="Q23" s="167">
        <f>+'Ricavi rist'!P51</f>
        <v>50</v>
      </c>
      <c r="R23" s="168">
        <f>+'Ricavi rist'!Q51</f>
        <v>50</v>
      </c>
      <c r="S23" s="166">
        <f>+'Ricavi rist'!R51</f>
        <v>50</v>
      </c>
      <c r="T23" s="167">
        <f>+'Ricavi rist'!S51</f>
        <v>50</v>
      </c>
      <c r="U23" s="167">
        <f>+'Ricavi rist'!T51</f>
        <v>50</v>
      </c>
      <c r="V23" s="168">
        <f>+'Ricavi rist'!U51</f>
        <v>50</v>
      </c>
      <c r="W23" s="12"/>
      <c r="X23" s="12"/>
    </row>
    <row r="24" spans="1:24" ht="12.75">
      <c r="A24" s="124" t="s">
        <v>112</v>
      </c>
      <c r="B24" s="162"/>
      <c r="C24" s="163">
        <f>+Maneggio!B40</f>
        <v>0</v>
      </c>
      <c r="D24" s="163">
        <f>+Maneggio!C40</f>
        <v>0</v>
      </c>
      <c r="E24" s="163">
        <f>+Maneggio!D40</f>
        <v>0</v>
      </c>
      <c r="F24" s="163">
        <f>+Maneggio!E40</f>
        <v>0</v>
      </c>
      <c r="G24" s="163">
        <f>+Maneggio!F40</f>
        <v>3</v>
      </c>
      <c r="H24" s="163">
        <f>+Maneggio!G40</f>
        <v>3</v>
      </c>
      <c r="I24" s="163">
        <f>+Maneggio!H40</f>
        <v>3</v>
      </c>
      <c r="J24" s="163">
        <f>+Maneggio!I40</f>
        <v>3</v>
      </c>
      <c r="K24" s="163">
        <f>+Maneggio!J40</f>
        <v>5</v>
      </c>
      <c r="L24" s="163">
        <f>+Maneggio!K40</f>
        <v>5</v>
      </c>
      <c r="M24" s="163">
        <f>+Maneggio!L40</f>
        <v>5</v>
      </c>
      <c r="N24" s="163">
        <f>+Maneggio!M40</f>
        <v>5</v>
      </c>
      <c r="O24" s="163">
        <f>+Maneggio!N40</f>
        <v>5</v>
      </c>
      <c r="P24" s="163">
        <f>+Maneggio!O40</f>
        <v>5</v>
      </c>
      <c r="Q24" s="163">
        <f>+Maneggio!P40</f>
        <v>5</v>
      </c>
      <c r="R24" s="163">
        <f>+Maneggio!Q40</f>
        <v>5</v>
      </c>
      <c r="S24" s="163">
        <f>+Maneggio!R40</f>
        <v>5</v>
      </c>
      <c r="T24" s="163">
        <f>+Maneggio!S40</f>
        <v>5</v>
      </c>
      <c r="U24" s="163">
        <f>+Maneggio!T40</f>
        <v>5</v>
      </c>
      <c r="V24" s="163">
        <f>+Maneggio!U40</f>
        <v>5</v>
      </c>
      <c r="W24" s="12"/>
      <c r="X24" s="12"/>
    </row>
    <row r="25" spans="1:24" s="1" customFormat="1" ht="12.75">
      <c r="A25" s="96" t="s">
        <v>79</v>
      </c>
      <c r="B25" s="195"/>
      <c r="C25" s="163"/>
      <c r="D25" s="164"/>
      <c r="E25" s="164"/>
      <c r="F25" s="165">
        <f>+'Ricavi Resort'!B51*'Ricavi MAZZANTA'!$W$25</f>
        <v>0</v>
      </c>
      <c r="G25" s="166"/>
      <c r="H25" s="167"/>
      <c r="I25" s="167"/>
      <c r="J25" s="165">
        <f>+'Ricavi Resort'!F51*'Ricavi MAZZANTA'!$W$25</f>
        <v>0</v>
      </c>
      <c r="K25" s="165">
        <f>+'Ricavi Resort'!G51*'Ricavi MAZZANTA'!$W$25</f>
        <v>0</v>
      </c>
      <c r="L25" s="165">
        <f>+'Ricavi Resort'!H51*'Ricavi MAZZANTA'!$W$25</f>
        <v>0</v>
      </c>
      <c r="M25" s="165">
        <f>+'Ricavi Resort'!I51*'Ricavi MAZZANTA'!$W$25</f>
        <v>0</v>
      </c>
      <c r="N25" s="165">
        <f>+'Ricavi Resort'!J51*'Ricavi MAZZANTA'!$W$25</f>
        <v>146.21241000000003</v>
      </c>
      <c r="O25" s="165">
        <f>+'Ricavi Resort'!K51*'Ricavi MAZZANTA'!$W$25</f>
        <v>0</v>
      </c>
      <c r="P25" s="165">
        <f>+'Ricavi Resort'!L51*'Ricavi MAZZANTA'!$W$25</f>
        <v>0</v>
      </c>
      <c r="Q25" s="165">
        <f>+'Ricavi Resort'!M51*'Ricavi MAZZANTA'!$W$25</f>
        <v>0</v>
      </c>
      <c r="R25" s="165">
        <f>+'Ricavi Resort'!N51*'Ricavi MAZZANTA'!$W$25</f>
        <v>240.21161159999997</v>
      </c>
      <c r="S25" s="165">
        <f>+'Ricavi Resort'!O51*'Ricavi MAZZANTA'!$W$25</f>
        <v>0</v>
      </c>
      <c r="T25" s="165">
        <f>+'Ricavi Resort'!P51*'Ricavi MAZZANTA'!$W$25</f>
        <v>0</v>
      </c>
      <c r="U25" s="165">
        <f>+'Ricavi Resort'!Q51*'Ricavi MAZZANTA'!$W$25</f>
        <v>0</v>
      </c>
      <c r="V25" s="165">
        <f>+'Ricavi Resort'!R51*'Ricavi MAZZANTA'!$W$25</f>
        <v>374.26123967999996</v>
      </c>
      <c r="W25" s="95">
        <v>0.51</v>
      </c>
      <c r="X25" s="15"/>
    </row>
    <row r="26" spans="1:24" s="1" customFormat="1" ht="12.75">
      <c r="A26" s="148" t="s">
        <v>95</v>
      </c>
      <c r="B26" s="196"/>
      <c r="C26" s="197"/>
      <c r="D26" s="198"/>
      <c r="E26" s="198"/>
      <c r="F26" s="199">
        <f>+Enoteca!B61*'Ricavi MAZZANTA'!$W$26</f>
        <v>0</v>
      </c>
      <c r="G26" s="200"/>
      <c r="H26" s="201"/>
      <c r="I26" s="201"/>
      <c r="J26" s="199">
        <f>+Enoteca!F61*'Ricavi MAZZANTA'!$W$26</f>
        <v>11.527540609593744</v>
      </c>
      <c r="K26" s="200"/>
      <c r="L26" s="201"/>
      <c r="M26" s="201"/>
      <c r="N26" s="202">
        <f>+Enoteca!J61*'Ricavi MAZZANTA'!W26</f>
        <v>26.701198097577173</v>
      </c>
      <c r="O26" s="200"/>
      <c r="P26" s="201"/>
      <c r="Q26" s="201"/>
      <c r="R26" s="202">
        <f>+Enoteca!N61*'Ricavi MAZZANTA'!W26</f>
        <v>62.506917739282045</v>
      </c>
      <c r="S26" s="200"/>
      <c r="T26" s="201"/>
      <c r="U26" s="201"/>
      <c r="V26" s="202">
        <f>+W26*Enoteca!R61</f>
        <v>90.37347969413132</v>
      </c>
      <c r="W26" s="95">
        <v>0.51</v>
      </c>
      <c r="X26" s="15"/>
    </row>
    <row r="27" spans="1:24" s="1" customFormat="1" ht="12.75">
      <c r="A27" s="148" t="s">
        <v>113</v>
      </c>
      <c r="B27" s="196"/>
      <c r="C27" s="197"/>
      <c r="D27" s="198"/>
      <c r="E27" s="198"/>
      <c r="F27" s="199"/>
      <c r="G27" s="200"/>
      <c r="H27" s="201"/>
      <c r="I27" s="201"/>
      <c r="J27" s="199"/>
      <c r="K27" s="200"/>
      <c r="L27" s="201"/>
      <c r="M27" s="201"/>
      <c r="N27" s="202"/>
      <c r="O27" s="200"/>
      <c r="P27" s="201"/>
      <c r="Q27" s="201"/>
      <c r="R27" s="202"/>
      <c r="S27" s="200"/>
      <c r="T27" s="201"/>
      <c r="U27" s="201"/>
      <c r="V27" s="202"/>
      <c r="W27" s="95"/>
      <c r="X27" s="15"/>
    </row>
    <row r="28" spans="1:24" ht="13.5" thickBot="1">
      <c r="A28" s="127" t="s">
        <v>80</v>
      </c>
      <c r="B28" s="203"/>
      <c r="C28" s="204"/>
      <c r="D28" s="205"/>
      <c r="E28" s="205"/>
      <c r="F28" s="206">
        <f>+'Ricavi rist'!B72*'Ricavi MAZZANTA'!$W$28</f>
        <v>0</v>
      </c>
      <c r="G28" s="182"/>
      <c r="H28" s="180"/>
      <c r="I28" s="180"/>
      <c r="J28" s="206">
        <f>+'Ricavi rist'!F72*'Ricavi MAZZANTA'!$W$28</f>
        <v>17.216662875000008</v>
      </c>
      <c r="K28" s="182"/>
      <c r="L28" s="180"/>
      <c r="M28" s="180"/>
      <c r="N28" s="181">
        <f>SUM('Ricavi rist'!J72:M72)*$W$25</f>
        <v>72.65655381000008</v>
      </c>
      <c r="O28" s="182"/>
      <c r="P28" s="180"/>
      <c r="Q28" s="180"/>
      <c r="R28" s="181">
        <f>SUM('Ricavi rist'!N72:Q72)*$W$25</f>
        <v>108.287190393</v>
      </c>
      <c r="S28" s="182"/>
      <c r="T28" s="180"/>
      <c r="U28" s="180"/>
      <c r="V28" s="181">
        <f>SUM('Ricavi rist'!R72:U72)*$W$25</f>
        <v>206.2629863259001</v>
      </c>
      <c r="W28" s="95">
        <v>0.51</v>
      </c>
      <c r="X28" s="12"/>
    </row>
    <row r="29" spans="1:24" s="94" customFormat="1" ht="13.5" thickBot="1">
      <c r="A29" s="103" t="s">
        <v>62</v>
      </c>
      <c r="B29" s="104"/>
      <c r="C29" s="105">
        <f>SUM(C21:C28)</f>
        <v>0</v>
      </c>
      <c r="D29" s="106">
        <f aca="true" t="shared" si="4" ref="D29:U29">SUM(D21:D28)</f>
        <v>0</v>
      </c>
      <c r="E29" s="106">
        <f t="shared" si="4"/>
        <v>0</v>
      </c>
      <c r="F29" s="107">
        <f t="shared" si="4"/>
        <v>0</v>
      </c>
      <c r="G29" s="105">
        <f t="shared" si="4"/>
        <v>3</v>
      </c>
      <c r="H29" s="106">
        <f t="shared" si="4"/>
        <v>8</v>
      </c>
      <c r="I29" s="106">
        <f t="shared" si="4"/>
        <v>48</v>
      </c>
      <c r="J29" s="107">
        <f t="shared" si="4"/>
        <v>76.74420348459375</v>
      </c>
      <c r="K29" s="105">
        <f t="shared" si="4"/>
        <v>92</v>
      </c>
      <c r="L29" s="106">
        <f t="shared" si="4"/>
        <v>92</v>
      </c>
      <c r="M29" s="106">
        <f t="shared" si="4"/>
        <v>92</v>
      </c>
      <c r="N29" s="107">
        <f t="shared" si="4"/>
        <v>337.57016190757724</v>
      </c>
      <c r="O29" s="105">
        <f t="shared" si="4"/>
        <v>104</v>
      </c>
      <c r="P29" s="106">
        <f t="shared" si="4"/>
        <v>104</v>
      </c>
      <c r="Q29" s="106">
        <f t="shared" si="4"/>
        <v>104</v>
      </c>
      <c r="R29" s="107">
        <f t="shared" si="4"/>
        <v>515.0057197322819</v>
      </c>
      <c r="S29" s="105">
        <f t="shared" si="4"/>
        <v>112</v>
      </c>
      <c r="T29" s="106">
        <f t="shared" si="4"/>
        <v>112</v>
      </c>
      <c r="U29" s="106">
        <f t="shared" si="4"/>
        <v>112</v>
      </c>
      <c r="V29" s="107">
        <f>SUM(V21:V28)</f>
        <v>782.8977057000313</v>
      </c>
      <c r="W29" s="93"/>
      <c r="X29" s="93"/>
    </row>
    <row r="30" spans="1:24" ht="13.5" thickBot="1">
      <c r="A30" s="108" t="s">
        <v>17</v>
      </c>
      <c r="B30" s="109"/>
      <c r="C30" s="213">
        <f>SUM(C29:F29)</f>
        <v>0</v>
      </c>
      <c r="D30" s="214"/>
      <c r="E30" s="214"/>
      <c r="F30" s="215"/>
      <c r="G30" s="213">
        <f>SUM(G29:J29)</f>
        <v>135.74420348459375</v>
      </c>
      <c r="H30" s="214"/>
      <c r="I30" s="214"/>
      <c r="J30" s="215"/>
      <c r="K30" s="213">
        <f>SUM(K29:N29)</f>
        <v>613.5701619075772</v>
      </c>
      <c r="L30" s="214"/>
      <c r="M30" s="214"/>
      <c r="N30" s="214"/>
      <c r="O30" s="213">
        <f>SUM(O29:R29)</f>
        <v>827.0057197322819</v>
      </c>
      <c r="P30" s="214"/>
      <c r="Q30" s="214"/>
      <c r="R30" s="215"/>
      <c r="S30" s="214">
        <f>SUM(S29:V29)</f>
        <v>1118.8977057000313</v>
      </c>
      <c r="T30" s="214"/>
      <c r="U30" s="214"/>
      <c r="V30" s="215"/>
      <c r="W30" s="12"/>
      <c r="X30" s="12"/>
    </row>
    <row r="31" spans="2:22" s="12" customFormat="1" ht="12.75">
      <c r="B31" s="97"/>
      <c r="C31" s="33"/>
      <c r="D31" s="17"/>
      <c r="E31" s="17"/>
      <c r="F31" s="34"/>
      <c r="G31" s="33"/>
      <c r="H31" s="17"/>
      <c r="I31" s="17"/>
      <c r="J31" s="34"/>
      <c r="K31" s="33"/>
      <c r="L31" s="17"/>
      <c r="M31" s="17"/>
      <c r="N31" s="34"/>
      <c r="O31" s="33"/>
      <c r="P31" s="17"/>
      <c r="Q31" s="17"/>
      <c r="R31" s="34"/>
      <c r="S31" s="33"/>
      <c r="T31" s="17"/>
      <c r="U31" s="17"/>
      <c r="V31" s="34"/>
    </row>
    <row r="32" spans="2:22" s="12" customFormat="1" ht="13.5" thickBot="1">
      <c r="B32" s="97"/>
      <c r="C32" s="33"/>
      <c r="D32" s="17"/>
      <c r="E32" s="17"/>
      <c r="F32" s="34"/>
      <c r="G32" s="33"/>
      <c r="H32" s="17"/>
      <c r="I32" s="17"/>
      <c r="J32" s="34"/>
      <c r="K32" s="33"/>
      <c r="L32" s="17"/>
      <c r="M32" s="17"/>
      <c r="N32" s="34"/>
      <c r="O32" s="33"/>
      <c r="P32" s="17"/>
      <c r="Q32" s="17"/>
      <c r="R32" s="34"/>
      <c r="S32" s="33"/>
      <c r="T32" s="17"/>
      <c r="U32" s="17"/>
      <c r="V32" s="34"/>
    </row>
    <row r="33" spans="2:22" s="12" customFormat="1" ht="15">
      <c r="B33" s="97"/>
      <c r="C33" s="207">
        <v>2007</v>
      </c>
      <c r="D33" s="208"/>
      <c r="E33" s="208"/>
      <c r="F33" s="209"/>
      <c r="G33" s="207">
        <v>2008</v>
      </c>
      <c r="H33" s="208"/>
      <c r="I33" s="208"/>
      <c r="J33" s="209"/>
      <c r="K33" s="207">
        <v>2009</v>
      </c>
      <c r="L33" s="208"/>
      <c r="M33" s="208"/>
      <c r="N33" s="209"/>
      <c r="O33" s="207">
        <v>2010</v>
      </c>
      <c r="P33" s="208"/>
      <c r="Q33" s="208"/>
      <c r="R33" s="209"/>
      <c r="S33" s="207">
        <v>2011</v>
      </c>
      <c r="T33" s="208"/>
      <c r="U33" s="208"/>
      <c r="V33" s="209"/>
    </row>
    <row r="34" spans="2:22" s="12" customFormat="1" ht="13.5" thickBot="1">
      <c r="B34" s="97"/>
      <c r="C34" s="136" t="s">
        <v>3</v>
      </c>
      <c r="D34" s="137" t="s">
        <v>4</v>
      </c>
      <c r="E34" s="137" t="s">
        <v>5</v>
      </c>
      <c r="F34" s="138" t="s">
        <v>6</v>
      </c>
      <c r="G34" s="136" t="s">
        <v>3</v>
      </c>
      <c r="H34" s="137" t="s">
        <v>4</v>
      </c>
      <c r="I34" s="137" t="s">
        <v>5</v>
      </c>
      <c r="J34" s="138" t="s">
        <v>6</v>
      </c>
      <c r="K34" s="136" t="s">
        <v>3</v>
      </c>
      <c r="L34" s="137" t="s">
        <v>4</v>
      </c>
      <c r="M34" s="137" t="s">
        <v>5</v>
      </c>
      <c r="N34" s="138" t="s">
        <v>6</v>
      </c>
      <c r="O34" s="136" t="s">
        <v>3</v>
      </c>
      <c r="P34" s="137" t="s">
        <v>4</v>
      </c>
      <c r="Q34" s="137" t="s">
        <v>5</v>
      </c>
      <c r="R34" s="138" t="s">
        <v>6</v>
      </c>
      <c r="S34" s="136" t="s">
        <v>3</v>
      </c>
      <c r="T34" s="137" t="s">
        <v>4</v>
      </c>
      <c r="U34" s="137" t="s">
        <v>5</v>
      </c>
      <c r="V34" s="138" t="s">
        <v>6</v>
      </c>
    </row>
    <row r="35" spans="1:22" s="12" customFormat="1" ht="12.75">
      <c r="A35" s="119" t="s">
        <v>10</v>
      </c>
      <c r="B35" s="120"/>
      <c r="C35" s="129"/>
      <c r="D35" s="130"/>
      <c r="E35" s="130"/>
      <c r="F35" s="131"/>
      <c r="G35" s="129"/>
      <c r="H35" s="130"/>
      <c r="I35" s="130"/>
      <c r="J35" s="131"/>
      <c r="K35" s="129"/>
      <c r="L35" s="130"/>
      <c r="M35" s="130"/>
      <c r="N35" s="131"/>
      <c r="O35" s="129"/>
      <c r="P35" s="130"/>
      <c r="Q35" s="130"/>
      <c r="R35" s="131"/>
      <c r="S35" s="129"/>
      <c r="T35" s="130"/>
      <c r="U35" s="130"/>
      <c r="V35" s="131"/>
    </row>
    <row r="36" spans="1:22" s="12" customFormat="1" ht="12.75">
      <c r="A36" s="96" t="s">
        <v>74</v>
      </c>
      <c r="B36" s="101"/>
      <c r="C36" s="58"/>
      <c r="D36" s="59"/>
      <c r="E36" s="59"/>
      <c r="F36" s="60"/>
      <c r="G36" s="58"/>
      <c r="H36" s="59"/>
      <c r="I36" s="59">
        <v>5</v>
      </c>
      <c r="J36" s="60">
        <v>5</v>
      </c>
      <c r="K36" s="58">
        <v>10</v>
      </c>
      <c r="L36" s="59">
        <v>10</v>
      </c>
      <c r="M36" s="59">
        <v>15</v>
      </c>
      <c r="N36" s="60">
        <v>15</v>
      </c>
      <c r="O36" s="58">
        <v>15</v>
      </c>
      <c r="P36" s="59">
        <v>15</v>
      </c>
      <c r="Q36" s="59">
        <v>15</v>
      </c>
      <c r="R36" s="60">
        <v>15</v>
      </c>
      <c r="S36" s="58">
        <v>20</v>
      </c>
      <c r="T36" s="59">
        <v>20</v>
      </c>
      <c r="U36" s="59">
        <v>20</v>
      </c>
      <c r="V36" s="60">
        <v>20</v>
      </c>
    </row>
    <row r="37" spans="1:22" s="12" customFormat="1" ht="12.75">
      <c r="A37" s="96" t="s">
        <v>63</v>
      </c>
      <c r="B37" s="101"/>
      <c r="C37" s="58"/>
      <c r="D37" s="59"/>
      <c r="E37" s="59"/>
      <c r="F37" s="60"/>
      <c r="G37" s="58"/>
      <c r="H37" s="59"/>
      <c r="I37" s="59"/>
      <c r="J37" s="60"/>
      <c r="K37" s="58"/>
      <c r="L37" s="59"/>
      <c r="M37" s="59"/>
      <c r="N37" s="60"/>
      <c r="O37" s="58"/>
      <c r="P37" s="59"/>
      <c r="Q37" s="59"/>
      <c r="R37" s="60"/>
      <c r="S37" s="58"/>
      <c r="T37" s="59"/>
      <c r="U37" s="59"/>
      <c r="V37" s="60"/>
    </row>
    <row r="38" spans="1:22" s="12" customFormat="1" ht="12.75">
      <c r="A38" s="96" t="s">
        <v>64</v>
      </c>
      <c r="B38" s="101"/>
      <c r="C38" s="58">
        <v>2</v>
      </c>
      <c r="D38" s="59">
        <v>10</v>
      </c>
      <c r="E38" s="59">
        <v>10</v>
      </c>
      <c r="F38" s="60">
        <v>20</v>
      </c>
      <c r="G38" s="58">
        <v>2</v>
      </c>
      <c r="H38" s="59">
        <v>2</v>
      </c>
      <c r="I38" s="59">
        <v>2</v>
      </c>
      <c r="J38" s="60">
        <v>2</v>
      </c>
      <c r="K38" s="58">
        <v>2</v>
      </c>
      <c r="L38" s="59">
        <v>2</v>
      </c>
      <c r="M38" s="59">
        <v>2</v>
      </c>
      <c r="N38" s="60">
        <v>2</v>
      </c>
      <c r="O38" s="58">
        <v>2</v>
      </c>
      <c r="P38" s="59">
        <v>2</v>
      </c>
      <c r="Q38" s="59">
        <v>2</v>
      </c>
      <c r="R38" s="60">
        <v>2</v>
      </c>
      <c r="S38" s="58">
        <v>2</v>
      </c>
      <c r="T38" s="59">
        <v>2</v>
      </c>
      <c r="U38" s="59">
        <v>2</v>
      </c>
      <c r="V38" s="60">
        <v>2</v>
      </c>
    </row>
    <row r="39" spans="1:22" s="12" customFormat="1" ht="12.75">
      <c r="A39" s="96"/>
      <c r="B39" s="101"/>
      <c r="C39" s="58"/>
      <c r="D39" s="59"/>
      <c r="E39" s="59"/>
      <c r="F39" s="60"/>
      <c r="G39" s="58"/>
      <c r="H39" s="59"/>
      <c r="I39" s="59"/>
      <c r="J39" s="60"/>
      <c r="K39" s="58"/>
      <c r="L39" s="59"/>
      <c r="M39" s="59"/>
      <c r="N39" s="60"/>
      <c r="O39" s="58"/>
      <c r="P39" s="59"/>
      <c r="Q39" s="59"/>
      <c r="R39" s="60"/>
      <c r="S39" s="58"/>
      <c r="T39" s="59"/>
      <c r="U39" s="59"/>
      <c r="V39" s="60"/>
    </row>
    <row r="40" spans="1:22" s="12" customFormat="1" ht="12.75">
      <c r="A40" s="132" t="s">
        <v>30</v>
      </c>
      <c r="B40" s="99"/>
      <c r="C40" s="58"/>
      <c r="D40" s="59"/>
      <c r="E40" s="59"/>
      <c r="F40" s="60"/>
      <c r="G40" s="58"/>
      <c r="H40" s="59"/>
      <c r="I40" s="59"/>
      <c r="J40" s="60"/>
      <c r="K40" s="58"/>
      <c r="L40" s="59"/>
      <c r="M40" s="59"/>
      <c r="N40" s="60"/>
      <c r="O40" s="58"/>
      <c r="P40" s="59"/>
      <c r="Q40" s="59"/>
      <c r="R40" s="60"/>
      <c r="S40" s="58"/>
      <c r="T40" s="59"/>
      <c r="U40" s="59"/>
      <c r="V40" s="156"/>
    </row>
    <row r="41" spans="1:22" s="12" customFormat="1" ht="12.75">
      <c r="A41" s="96" t="s">
        <v>114</v>
      </c>
      <c r="B41" s="101"/>
      <c r="C41" s="58"/>
      <c r="D41" s="59"/>
      <c r="E41" s="58">
        <v>0</v>
      </c>
      <c r="F41" s="58">
        <f>32</f>
        <v>32</v>
      </c>
      <c r="G41" s="58">
        <f>32</f>
        <v>32</v>
      </c>
      <c r="H41" s="58">
        <f>32</f>
        <v>32</v>
      </c>
      <c r="I41" s="58">
        <f>32</f>
        <v>32</v>
      </c>
      <c r="J41" s="58">
        <f>32</f>
        <v>32</v>
      </c>
      <c r="K41" s="58">
        <f>32</f>
        <v>32</v>
      </c>
      <c r="L41" s="58">
        <f>32</f>
        <v>32</v>
      </c>
      <c r="M41" s="58">
        <f>32</f>
        <v>32</v>
      </c>
      <c r="N41" s="58">
        <f>32</f>
        <v>32</v>
      </c>
      <c r="O41" s="59">
        <f>37*3</f>
        <v>111</v>
      </c>
      <c r="P41" s="59">
        <f aca="true" t="shared" si="5" ref="P41:V41">37*3</f>
        <v>111</v>
      </c>
      <c r="Q41" s="59">
        <f t="shared" si="5"/>
        <v>111</v>
      </c>
      <c r="R41" s="59">
        <f t="shared" si="5"/>
        <v>111</v>
      </c>
      <c r="S41" s="59">
        <f t="shared" si="5"/>
        <v>111</v>
      </c>
      <c r="T41" s="59">
        <f t="shared" si="5"/>
        <v>111</v>
      </c>
      <c r="U41" s="65">
        <f t="shared" si="5"/>
        <v>111</v>
      </c>
      <c r="V41" s="60">
        <f t="shared" si="5"/>
        <v>111</v>
      </c>
    </row>
    <row r="42" spans="1:22" s="12" customFormat="1" ht="12.75">
      <c r="A42" s="96" t="s">
        <v>65</v>
      </c>
      <c r="B42" s="101"/>
      <c r="C42" s="58"/>
      <c r="D42" s="59"/>
      <c r="E42" s="59"/>
      <c r="F42" s="60"/>
      <c r="G42" s="58"/>
      <c r="H42" s="59"/>
      <c r="I42" s="59"/>
      <c r="J42" s="60"/>
      <c r="K42" s="58"/>
      <c r="L42" s="59"/>
      <c r="M42" s="59"/>
      <c r="N42" s="60"/>
      <c r="O42" s="58"/>
      <c r="P42" s="59"/>
      <c r="Q42" s="59"/>
      <c r="R42" s="60"/>
      <c r="S42" s="58"/>
      <c r="T42" s="59"/>
      <c r="U42" s="59"/>
      <c r="V42" s="157"/>
    </row>
    <row r="43" spans="1:22" s="12" customFormat="1" ht="12.75">
      <c r="A43" s="132" t="s">
        <v>70</v>
      </c>
      <c r="B43" s="99"/>
      <c r="C43" s="58"/>
      <c r="D43" s="59"/>
      <c r="E43" s="59"/>
      <c r="F43" s="60"/>
      <c r="G43" s="58"/>
      <c r="H43" s="59"/>
      <c r="I43" s="59"/>
      <c r="J43" s="60"/>
      <c r="K43" s="58"/>
      <c r="L43" s="59"/>
      <c r="M43" s="59"/>
      <c r="N43" s="60"/>
      <c r="O43" s="58"/>
      <c r="P43" s="59"/>
      <c r="Q43" s="59"/>
      <c r="R43" s="60"/>
      <c r="S43" s="58"/>
      <c r="T43" s="59"/>
      <c r="U43" s="59"/>
      <c r="V43" s="60"/>
    </row>
    <row r="44" spans="1:22" s="12" customFormat="1" ht="12.75">
      <c r="A44" s="96" t="s">
        <v>75</v>
      </c>
      <c r="B44" s="101"/>
      <c r="C44" s="58">
        <f>SUM($C$7:$F$13)/33/4*0</f>
        <v>0</v>
      </c>
      <c r="D44" s="59">
        <f>SUM($C$7:$F$13)/33/4*0</f>
        <v>0</v>
      </c>
      <c r="E44" s="59">
        <f>SUM($C$7:$F$13)/33/4*0</f>
        <v>0</v>
      </c>
      <c r="F44" s="60">
        <f>SUM($C$7:$F$13)/33/4</f>
        <v>1.0984848484848484</v>
      </c>
      <c r="G44" s="58">
        <f aca="true" t="shared" si="6" ref="G44:V44">SUM($C$7:$F$13)/33/4+SUM($G$7:$J$13)/33/4</f>
        <v>29.25959595959596</v>
      </c>
      <c r="H44" s="59">
        <f t="shared" si="6"/>
        <v>29.25959595959596</v>
      </c>
      <c r="I44" s="59">
        <f t="shared" si="6"/>
        <v>29.25959595959596</v>
      </c>
      <c r="J44" s="60">
        <f t="shared" si="6"/>
        <v>29.25959595959596</v>
      </c>
      <c r="K44" s="58">
        <f t="shared" si="6"/>
        <v>29.25959595959596</v>
      </c>
      <c r="L44" s="59">
        <f t="shared" si="6"/>
        <v>29.25959595959596</v>
      </c>
      <c r="M44" s="59">
        <f t="shared" si="6"/>
        <v>29.25959595959596</v>
      </c>
      <c r="N44" s="60">
        <f t="shared" si="6"/>
        <v>29.25959595959596</v>
      </c>
      <c r="O44" s="58">
        <f t="shared" si="6"/>
        <v>29.25959595959596</v>
      </c>
      <c r="P44" s="59">
        <f t="shared" si="6"/>
        <v>29.25959595959596</v>
      </c>
      <c r="Q44" s="59">
        <f t="shared" si="6"/>
        <v>29.25959595959596</v>
      </c>
      <c r="R44" s="60">
        <f t="shared" si="6"/>
        <v>29.25959595959596</v>
      </c>
      <c r="S44" s="58">
        <f t="shared" si="6"/>
        <v>29.25959595959596</v>
      </c>
      <c r="T44" s="59">
        <f t="shared" si="6"/>
        <v>29.25959595959596</v>
      </c>
      <c r="U44" s="59">
        <f t="shared" si="6"/>
        <v>29.25959595959596</v>
      </c>
      <c r="V44" s="60">
        <f t="shared" si="6"/>
        <v>29.25959595959596</v>
      </c>
    </row>
    <row r="45" spans="1:22" s="12" customFormat="1" ht="13.5" thickBot="1">
      <c r="A45" s="127" t="s">
        <v>29</v>
      </c>
      <c r="B45" s="128"/>
      <c r="C45" s="133"/>
      <c r="D45" s="134"/>
      <c r="E45" s="134"/>
      <c r="F45" s="135"/>
      <c r="G45" s="133"/>
      <c r="H45" s="134"/>
      <c r="I45" s="134"/>
      <c r="J45" s="135"/>
      <c r="K45" s="133"/>
      <c r="L45" s="134"/>
      <c r="M45" s="134"/>
      <c r="N45" s="135"/>
      <c r="O45" s="133"/>
      <c r="P45" s="134"/>
      <c r="Q45" s="134"/>
      <c r="R45" s="135"/>
      <c r="S45" s="133"/>
      <c r="T45" s="134"/>
      <c r="U45" s="134"/>
      <c r="V45" s="135"/>
    </row>
    <row r="46" spans="1:22" s="12" customFormat="1" ht="13.5" thickBot="1">
      <c r="A46" s="112" t="s">
        <v>32</v>
      </c>
      <c r="B46" s="113"/>
      <c r="C46" s="114">
        <f>SUM(C36:C45)</f>
        <v>2</v>
      </c>
      <c r="D46" s="115">
        <f aca="true" t="shared" si="7" ref="D46:V46">SUM(D36:D45)</f>
        <v>10</v>
      </c>
      <c r="E46" s="115">
        <f t="shared" si="7"/>
        <v>10</v>
      </c>
      <c r="F46" s="116">
        <f t="shared" si="7"/>
        <v>53.09848484848485</v>
      </c>
      <c r="G46" s="114">
        <f t="shared" si="7"/>
        <v>63.259595959595956</v>
      </c>
      <c r="H46" s="115">
        <f t="shared" si="7"/>
        <v>63.259595959595956</v>
      </c>
      <c r="I46" s="115">
        <f t="shared" si="7"/>
        <v>68.25959595959596</v>
      </c>
      <c r="J46" s="116">
        <f t="shared" si="7"/>
        <v>68.25959595959596</v>
      </c>
      <c r="K46" s="114">
        <f t="shared" si="7"/>
        <v>73.25959595959596</v>
      </c>
      <c r="L46" s="115">
        <f t="shared" si="7"/>
        <v>73.25959595959596</v>
      </c>
      <c r="M46" s="115">
        <f t="shared" si="7"/>
        <v>78.25959595959596</v>
      </c>
      <c r="N46" s="116">
        <f t="shared" si="7"/>
        <v>78.25959595959596</v>
      </c>
      <c r="O46" s="114">
        <f t="shared" si="7"/>
        <v>157.25959595959597</v>
      </c>
      <c r="P46" s="115">
        <f t="shared" si="7"/>
        <v>157.25959595959597</v>
      </c>
      <c r="Q46" s="115">
        <f t="shared" si="7"/>
        <v>157.25959595959597</v>
      </c>
      <c r="R46" s="116">
        <f t="shared" si="7"/>
        <v>157.25959595959597</v>
      </c>
      <c r="S46" s="114">
        <f t="shared" si="7"/>
        <v>162.25959595959597</v>
      </c>
      <c r="T46" s="115">
        <f t="shared" si="7"/>
        <v>162.25959595959597</v>
      </c>
      <c r="U46" s="115">
        <f t="shared" si="7"/>
        <v>162.25959595959597</v>
      </c>
      <c r="V46" s="116">
        <f t="shared" si="7"/>
        <v>162.25959595959597</v>
      </c>
    </row>
    <row r="47" spans="1:24" ht="13.5" thickBot="1">
      <c r="A47" s="108" t="s">
        <v>66</v>
      </c>
      <c r="B47" s="109"/>
      <c r="C47" s="213">
        <f>SUM(C46:F46)</f>
        <v>75.09848484848484</v>
      </c>
      <c r="D47" s="214"/>
      <c r="E47" s="214"/>
      <c r="F47" s="215"/>
      <c r="G47" s="213">
        <f>SUM(G46:J46)</f>
        <v>263.0383838383838</v>
      </c>
      <c r="H47" s="214"/>
      <c r="I47" s="214"/>
      <c r="J47" s="215"/>
      <c r="K47" s="213">
        <f>SUM(K46:N46)</f>
        <v>303.0383838383838</v>
      </c>
      <c r="L47" s="214"/>
      <c r="M47" s="214"/>
      <c r="N47" s="215"/>
      <c r="O47" s="213">
        <f>SUM(O46:R46)</f>
        <v>629.0383838383839</v>
      </c>
      <c r="P47" s="214"/>
      <c r="Q47" s="214"/>
      <c r="R47" s="215"/>
      <c r="S47" s="213">
        <f>SUM(S46:V46)</f>
        <v>649.0383838383839</v>
      </c>
      <c r="T47" s="214"/>
      <c r="U47" s="214"/>
      <c r="V47" s="215"/>
      <c r="W47" s="12"/>
      <c r="X47" s="12"/>
    </row>
    <row r="48" spans="2:22" s="12" customFormat="1" ht="13.5" thickBot="1">
      <c r="B48" s="102"/>
      <c r="C48" s="33"/>
      <c r="D48" s="17"/>
      <c r="E48" s="17"/>
      <c r="F48" s="34"/>
      <c r="G48" s="33"/>
      <c r="H48" s="17"/>
      <c r="I48" s="17"/>
      <c r="J48" s="34"/>
      <c r="K48" s="33"/>
      <c r="L48" s="17"/>
      <c r="M48" s="17"/>
      <c r="N48" s="34"/>
      <c r="O48" s="33"/>
      <c r="P48" s="17"/>
      <c r="Q48" s="17"/>
      <c r="R48" s="34"/>
      <c r="S48" s="33"/>
      <c r="T48" s="17"/>
      <c r="U48" s="17"/>
      <c r="V48" s="34"/>
    </row>
    <row r="49" spans="1:24" ht="13.5" thickBot="1">
      <c r="A49" s="112" t="s">
        <v>31</v>
      </c>
      <c r="B49" s="113"/>
      <c r="C49" s="222">
        <f>+C30-C47</f>
        <v>-75.09848484848484</v>
      </c>
      <c r="D49" s="223"/>
      <c r="E49" s="223"/>
      <c r="F49" s="224"/>
      <c r="G49" s="222">
        <f>+G30-G47</f>
        <v>-127.29418035379007</v>
      </c>
      <c r="H49" s="223"/>
      <c r="I49" s="223"/>
      <c r="J49" s="224"/>
      <c r="K49" s="222">
        <f>+K30-K47</f>
        <v>310.5317780691934</v>
      </c>
      <c r="L49" s="223"/>
      <c r="M49" s="223"/>
      <c r="N49" s="224"/>
      <c r="O49" s="222">
        <f>+O30-O47</f>
        <v>197.96733589389805</v>
      </c>
      <c r="P49" s="223"/>
      <c r="Q49" s="223"/>
      <c r="R49" s="224"/>
      <c r="S49" s="222">
        <f>+S30-S47</f>
        <v>469.85932186164746</v>
      </c>
      <c r="T49" s="223"/>
      <c r="U49" s="223"/>
      <c r="V49" s="224"/>
      <c r="W49" s="12"/>
      <c r="X49" s="12"/>
    </row>
    <row r="50" spans="1:25" s="12" customFormat="1" ht="12.75">
      <c r="A50" s="117" t="s">
        <v>59</v>
      </c>
      <c r="B50" s="118"/>
      <c r="C50" s="225"/>
      <c r="D50" s="226"/>
      <c r="E50" s="226"/>
      <c r="F50" s="227"/>
      <c r="G50" s="225"/>
      <c r="H50" s="226"/>
      <c r="I50" s="226"/>
      <c r="J50" s="227"/>
      <c r="K50" s="225">
        <f>-K49*33%</f>
        <v>-102.47548676283384</v>
      </c>
      <c r="L50" s="226"/>
      <c r="M50" s="226"/>
      <c r="N50" s="227"/>
      <c r="O50" s="225">
        <f>-O49*33%</f>
        <v>-65.32922084498637</v>
      </c>
      <c r="P50" s="226"/>
      <c r="Q50" s="226"/>
      <c r="R50" s="227"/>
      <c r="S50" s="225">
        <f>-S49*33%</f>
        <v>-155.05357621434368</v>
      </c>
      <c r="T50" s="226"/>
      <c r="U50" s="226"/>
      <c r="V50" s="227"/>
      <c r="Y50" s="64"/>
    </row>
    <row r="51" spans="1:22" s="12" customFormat="1" ht="13.5" thickBot="1">
      <c r="A51" s="110" t="s">
        <v>60</v>
      </c>
      <c r="B51" s="111"/>
      <c r="C51" s="228"/>
      <c r="D51" s="229"/>
      <c r="E51" s="229"/>
      <c r="F51" s="230"/>
      <c r="G51" s="228"/>
      <c r="H51" s="229"/>
      <c r="I51" s="229"/>
      <c r="J51" s="230"/>
      <c r="K51" s="231">
        <f>-SUM(K49,K36:N36)*4.75%</f>
        <v>-17.12525945828669</v>
      </c>
      <c r="L51" s="232"/>
      <c r="M51" s="232"/>
      <c r="N51" s="233"/>
      <c r="O51" s="231">
        <f>-SUM(O49,O36:R36)*4.75%</f>
        <v>-12.253448454960157</v>
      </c>
      <c r="P51" s="232"/>
      <c r="Q51" s="232"/>
      <c r="R51" s="233"/>
      <c r="S51" s="231">
        <f>-SUM(S49,S36:V36)*4.75%</f>
        <v>-26.118317788428254</v>
      </c>
      <c r="T51" s="232"/>
      <c r="U51" s="232"/>
      <c r="V51" s="233"/>
    </row>
    <row r="52" spans="1:24" ht="13.5" thickBot="1">
      <c r="A52" s="112" t="s">
        <v>61</v>
      </c>
      <c r="B52" s="113"/>
      <c r="C52" s="222">
        <f>SUM(C49:F51)</f>
        <v>-75.09848484848484</v>
      </c>
      <c r="D52" s="223"/>
      <c r="E52" s="223"/>
      <c r="F52" s="224"/>
      <c r="G52" s="222">
        <f>SUM(G49:J51)</f>
        <v>-127.29418035379007</v>
      </c>
      <c r="H52" s="223"/>
      <c r="I52" s="223"/>
      <c r="J52" s="224"/>
      <c r="K52" s="222">
        <f>SUM(K49:N51)</f>
        <v>190.9310318480729</v>
      </c>
      <c r="L52" s="223"/>
      <c r="M52" s="223"/>
      <c r="N52" s="224"/>
      <c r="O52" s="222">
        <f>SUM(O49:R51)</f>
        <v>120.38466659395152</v>
      </c>
      <c r="P52" s="223"/>
      <c r="Q52" s="223"/>
      <c r="R52" s="224"/>
      <c r="S52" s="222">
        <f>SUM(S49:V51)</f>
        <v>288.6874278588755</v>
      </c>
      <c r="T52" s="223"/>
      <c r="U52" s="223"/>
      <c r="V52" s="224"/>
      <c r="W52" s="12"/>
      <c r="X52" s="12"/>
    </row>
    <row r="53" s="12" customFormat="1" ht="12.75"/>
    <row r="54" s="12" customFormat="1" ht="13.5" thickBot="1"/>
    <row r="55" spans="1:24" ht="15">
      <c r="A55" s="12"/>
      <c r="B55" s="97"/>
      <c r="C55" s="207">
        <v>2007</v>
      </c>
      <c r="D55" s="208"/>
      <c r="E55" s="208"/>
      <c r="F55" s="209"/>
      <c r="G55" s="207">
        <v>2008</v>
      </c>
      <c r="H55" s="208"/>
      <c r="I55" s="208"/>
      <c r="J55" s="209"/>
      <c r="K55" s="207">
        <v>2009</v>
      </c>
      <c r="L55" s="208"/>
      <c r="M55" s="208"/>
      <c r="N55" s="209"/>
      <c r="O55" s="207">
        <v>2010</v>
      </c>
      <c r="P55" s="208"/>
      <c r="Q55" s="208"/>
      <c r="R55" s="209"/>
      <c r="S55" s="207">
        <v>2011</v>
      </c>
      <c r="T55" s="208"/>
      <c r="U55" s="208"/>
      <c r="V55" s="209"/>
      <c r="W55" s="12"/>
      <c r="X55" s="12"/>
    </row>
    <row r="56" spans="1:24" ht="13.5" thickBot="1">
      <c r="A56" s="12"/>
      <c r="B56" s="97"/>
      <c r="C56" s="136" t="s">
        <v>3</v>
      </c>
      <c r="D56" s="137" t="s">
        <v>4</v>
      </c>
      <c r="E56" s="137" t="s">
        <v>5</v>
      </c>
      <c r="F56" s="138" t="s">
        <v>6</v>
      </c>
      <c r="G56" s="136" t="s">
        <v>3</v>
      </c>
      <c r="H56" s="137" t="s">
        <v>4</v>
      </c>
      <c r="I56" s="137" t="s">
        <v>5</v>
      </c>
      <c r="J56" s="138" t="s">
        <v>6</v>
      </c>
      <c r="K56" s="136" t="s">
        <v>3</v>
      </c>
      <c r="L56" s="137" t="s">
        <v>4</v>
      </c>
      <c r="M56" s="137" t="s">
        <v>5</v>
      </c>
      <c r="N56" s="138" t="s">
        <v>6</v>
      </c>
      <c r="O56" s="136" t="s">
        <v>3</v>
      </c>
      <c r="P56" s="137" t="s">
        <v>4</v>
      </c>
      <c r="Q56" s="137" t="s">
        <v>5</v>
      </c>
      <c r="R56" s="138" t="s">
        <v>6</v>
      </c>
      <c r="S56" s="136" t="s">
        <v>3</v>
      </c>
      <c r="T56" s="137" t="s">
        <v>4</v>
      </c>
      <c r="U56" s="137" t="s">
        <v>5</v>
      </c>
      <c r="V56" s="138" t="s">
        <v>6</v>
      </c>
      <c r="W56" s="12"/>
      <c r="X56" s="12"/>
    </row>
    <row r="57" spans="1:24" ht="12.75">
      <c r="A57" s="119" t="s">
        <v>76</v>
      </c>
      <c r="B57" s="120"/>
      <c r="C57" s="121"/>
      <c r="D57" s="122"/>
      <c r="E57" s="122"/>
      <c r="F57" s="123"/>
      <c r="G57" s="121"/>
      <c r="H57" s="122"/>
      <c r="I57" s="122"/>
      <c r="J57" s="123"/>
      <c r="K57" s="121"/>
      <c r="L57" s="122"/>
      <c r="M57" s="122"/>
      <c r="N57" s="123"/>
      <c r="O57" s="121"/>
      <c r="P57" s="122"/>
      <c r="Q57" s="122"/>
      <c r="R57" s="123"/>
      <c r="S57" s="121"/>
      <c r="T57" s="122"/>
      <c r="U57" s="122"/>
      <c r="V57" s="123"/>
      <c r="W57" s="12"/>
      <c r="X57" s="12"/>
    </row>
    <row r="58" spans="1:24" ht="12.75">
      <c r="A58" s="124" t="s">
        <v>115</v>
      </c>
      <c r="B58" s="153"/>
      <c r="C58" s="154"/>
      <c r="D58" s="154">
        <f>-C15</f>
        <v>0</v>
      </c>
      <c r="E58" s="154">
        <f aca="true" t="shared" si="8" ref="E58:V58">-D15</f>
        <v>-25</v>
      </c>
      <c r="F58" s="154">
        <f t="shared" si="8"/>
        <v>-25</v>
      </c>
      <c r="G58" s="154">
        <f t="shared" si="8"/>
        <v>-95</v>
      </c>
      <c r="H58" s="154">
        <f t="shared" si="8"/>
        <v>-716.2</v>
      </c>
      <c r="I58" s="154">
        <f t="shared" si="8"/>
        <v>-940.8000000000001</v>
      </c>
      <c r="J58" s="154">
        <f t="shared" si="8"/>
        <v>-1030.1333333333334</v>
      </c>
      <c r="K58" s="154">
        <f t="shared" si="8"/>
        <v>-1030.1333333333334</v>
      </c>
      <c r="L58" s="154">
        <f t="shared" si="8"/>
        <v>-960.1333333333334</v>
      </c>
      <c r="M58" s="154">
        <f t="shared" si="8"/>
        <v>-167.33333333333331</v>
      </c>
      <c r="N58" s="154">
        <f t="shared" si="8"/>
        <v>-89.33333333333333</v>
      </c>
      <c r="O58" s="154">
        <f t="shared" si="8"/>
        <v>-89.33333333333333</v>
      </c>
      <c r="P58" s="154">
        <f t="shared" si="8"/>
        <v>0</v>
      </c>
      <c r="Q58" s="154">
        <f t="shared" si="8"/>
        <v>0</v>
      </c>
      <c r="R58" s="154">
        <f t="shared" si="8"/>
        <v>0</v>
      </c>
      <c r="S58" s="154">
        <f t="shared" si="8"/>
        <v>0</v>
      </c>
      <c r="T58" s="154">
        <f t="shared" si="8"/>
        <v>0</v>
      </c>
      <c r="U58" s="154">
        <f t="shared" si="8"/>
        <v>0</v>
      </c>
      <c r="V58" s="154">
        <f t="shared" si="8"/>
        <v>0</v>
      </c>
      <c r="W58" s="12"/>
      <c r="X58" s="12"/>
    </row>
    <row r="59" spans="1:24" ht="12.75">
      <c r="A59" s="124" t="s">
        <v>118</v>
      </c>
      <c r="B59" s="153"/>
      <c r="C59" s="154"/>
      <c r="D59" s="154">
        <f>+D58*0.2</f>
        <v>0</v>
      </c>
      <c r="E59" s="154">
        <f aca="true" t="shared" si="9" ref="E59:V59">+E58*0.2</f>
        <v>-5</v>
      </c>
      <c r="F59" s="154">
        <f t="shared" si="9"/>
        <v>-5</v>
      </c>
      <c r="G59" s="154">
        <f t="shared" si="9"/>
        <v>-19</v>
      </c>
      <c r="H59" s="154">
        <f t="shared" si="9"/>
        <v>-143.24</v>
      </c>
      <c r="I59" s="154">
        <f t="shared" si="9"/>
        <v>-188.16000000000003</v>
      </c>
      <c r="J59" s="154">
        <f t="shared" si="9"/>
        <v>-206.0266666666667</v>
      </c>
      <c r="K59" s="154">
        <f t="shared" si="9"/>
        <v>-206.0266666666667</v>
      </c>
      <c r="L59" s="154">
        <f t="shared" si="9"/>
        <v>-192.0266666666667</v>
      </c>
      <c r="M59" s="154">
        <f t="shared" si="9"/>
        <v>-33.46666666666666</v>
      </c>
      <c r="N59" s="154">
        <f t="shared" si="9"/>
        <v>-17.866666666666667</v>
      </c>
      <c r="O59" s="154">
        <f t="shared" si="9"/>
        <v>-17.866666666666667</v>
      </c>
      <c r="P59" s="154">
        <f t="shared" si="9"/>
        <v>0</v>
      </c>
      <c r="Q59" s="154">
        <f t="shared" si="9"/>
        <v>0</v>
      </c>
      <c r="R59" s="154">
        <f t="shared" si="9"/>
        <v>0</v>
      </c>
      <c r="S59" s="154">
        <f t="shared" si="9"/>
        <v>0</v>
      </c>
      <c r="T59" s="154">
        <f t="shared" si="9"/>
        <v>0</v>
      </c>
      <c r="U59" s="154">
        <f t="shared" si="9"/>
        <v>0</v>
      </c>
      <c r="V59" s="154">
        <f t="shared" si="9"/>
        <v>0</v>
      </c>
      <c r="W59" s="12"/>
      <c r="X59" s="12"/>
    </row>
    <row r="60" spans="1:24" ht="12.75">
      <c r="A60" s="124" t="s">
        <v>119</v>
      </c>
      <c r="B60" s="153"/>
      <c r="C60" s="155">
        <f>+(-C29+C38)*0.2</f>
        <v>0.4</v>
      </c>
      <c r="D60" s="155">
        <f aca="true" t="shared" si="10" ref="D60:V60">+(-D29+D38)*0.2</f>
        <v>2</v>
      </c>
      <c r="E60" s="155">
        <f t="shared" si="10"/>
        <v>2</v>
      </c>
      <c r="F60" s="155">
        <f t="shared" si="10"/>
        <v>4</v>
      </c>
      <c r="G60" s="155">
        <f t="shared" si="10"/>
        <v>-0.2</v>
      </c>
      <c r="H60" s="155">
        <f t="shared" si="10"/>
        <v>-1.2000000000000002</v>
      </c>
      <c r="I60" s="155">
        <f t="shared" si="10"/>
        <v>-9.200000000000001</v>
      </c>
      <c r="J60" s="155">
        <f t="shared" si="10"/>
        <v>-14.94884069691875</v>
      </c>
      <c r="K60" s="155">
        <f t="shared" si="10"/>
        <v>-18</v>
      </c>
      <c r="L60" s="155">
        <f t="shared" si="10"/>
        <v>-18</v>
      </c>
      <c r="M60" s="155">
        <f t="shared" si="10"/>
        <v>-18</v>
      </c>
      <c r="N60" s="155">
        <f t="shared" si="10"/>
        <v>-67.11403238151546</v>
      </c>
      <c r="O60" s="155">
        <f t="shared" si="10"/>
        <v>-20.400000000000002</v>
      </c>
      <c r="P60" s="155">
        <f t="shared" si="10"/>
        <v>-20.400000000000002</v>
      </c>
      <c r="Q60" s="155">
        <f t="shared" si="10"/>
        <v>-20.400000000000002</v>
      </c>
      <c r="R60" s="155">
        <f t="shared" si="10"/>
        <v>-102.60114394645639</v>
      </c>
      <c r="S60" s="155">
        <f t="shared" si="10"/>
        <v>-22</v>
      </c>
      <c r="T60" s="155">
        <f t="shared" si="10"/>
        <v>-22</v>
      </c>
      <c r="U60" s="155">
        <f t="shared" si="10"/>
        <v>-22</v>
      </c>
      <c r="V60" s="155">
        <f t="shared" si="10"/>
        <v>-156.17954114000628</v>
      </c>
      <c r="W60" s="12"/>
      <c r="X60" s="12"/>
    </row>
    <row r="61" spans="1:24" ht="12.75">
      <c r="A61" s="124" t="s">
        <v>116</v>
      </c>
      <c r="B61" s="100"/>
      <c r="C61" s="52"/>
      <c r="D61" s="41">
        <f aca="true" t="shared" si="11" ref="D61:J61">+D29-D46+D44</f>
        <v>-10</v>
      </c>
      <c r="E61" s="41">
        <f t="shared" si="11"/>
        <v>-10</v>
      </c>
      <c r="F61" s="41">
        <f t="shared" si="11"/>
        <v>-52</v>
      </c>
      <c r="G61" s="41">
        <f t="shared" si="11"/>
        <v>-30.999999999999996</v>
      </c>
      <c r="H61" s="7">
        <f t="shared" si="11"/>
        <v>-25.999999999999996</v>
      </c>
      <c r="I61" s="7">
        <f t="shared" si="11"/>
        <v>9.000000000000004</v>
      </c>
      <c r="J61" s="42">
        <f t="shared" si="11"/>
        <v>37.744203484593754</v>
      </c>
      <c r="K61" s="41">
        <f aca="true" t="shared" si="12" ref="K61:V61">+K29-K46+K44</f>
        <v>48</v>
      </c>
      <c r="L61" s="7">
        <f t="shared" si="12"/>
        <v>48</v>
      </c>
      <c r="M61" s="7">
        <f t="shared" si="12"/>
        <v>43</v>
      </c>
      <c r="N61" s="42">
        <f>+N29-N46+N44</f>
        <v>288.57016190757724</v>
      </c>
      <c r="O61" s="41">
        <f t="shared" si="12"/>
        <v>-24.00000000000001</v>
      </c>
      <c r="P61" s="7">
        <f t="shared" si="12"/>
        <v>-24.00000000000001</v>
      </c>
      <c r="Q61" s="7">
        <f t="shared" si="12"/>
        <v>-24.00000000000001</v>
      </c>
      <c r="R61" s="42">
        <f t="shared" si="12"/>
        <v>387.00571973228193</v>
      </c>
      <c r="S61" s="41">
        <f t="shared" si="12"/>
        <v>-21.00000000000001</v>
      </c>
      <c r="T61" s="7">
        <f t="shared" si="12"/>
        <v>-21.00000000000001</v>
      </c>
      <c r="U61" s="7">
        <f t="shared" si="12"/>
        <v>-21.00000000000001</v>
      </c>
      <c r="V61" s="42">
        <f t="shared" si="12"/>
        <v>649.8977057000312</v>
      </c>
      <c r="W61" s="12"/>
      <c r="X61" s="12"/>
    </row>
    <row r="62" spans="1:24" ht="13.5" thickBot="1">
      <c r="A62" s="124" t="s">
        <v>77</v>
      </c>
      <c r="B62" s="100"/>
      <c r="C62" s="52"/>
      <c r="D62" s="53"/>
      <c r="E62" s="53"/>
      <c r="F62" s="54"/>
      <c r="G62" s="41"/>
      <c r="H62" s="7"/>
      <c r="I62" s="7"/>
      <c r="J62" s="42"/>
      <c r="K62" s="41"/>
      <c r="L62" s="7"/>
      <c r="M62" s="7">
        <f>12*3</f>
        <v>36</v>
      </c>
      <c r="N62" s="7">
        <f aca="true" t="shared" si="13" ref="N62:V62">12*3</f>
        <v>36</v>
      </c>
      <c r="O62" s="7">
        <f t="shared" si="13"/>
        <v>36</v>
      </c>
      <c r="P62" s="7">
        <f t="shared" si="13"/>
        <v>36</v>
      </c>
      <c r="Q62" s="7">
        <f t="shared" si="13"/>
        <v>36</v>
      </c>
      <c r="R62" s="7">
        <f t="shared" si="13"/>
        <v>36</v>
      </c>
      <c r="S62" s="7">
        <f t="shared" si="13"/>
        <v>36</v>
      </c>
      <c r="T62" s="7">
        <f t="shared" si="13"/>
        <v>36</v>
      </c>
      <c r="U62" s="7">
        <f t="shared" si="13"/>
        <v>36</v>
      </c>
      <c r="V62" s="7">
        <f t="shared" si="13"/>
        <v>36</v>
      </c>
      <c r="W62" s="12"/>
      <c r="X62" s="12"/>
    </row>
    <row r="63" spans="1:24" s="94" customFormat="1" ht="13.5" thickBot="1">
      <c r="A63" s="103" t="s">
        <v>117</v>
      </c>
      <c r="B63" s="104"/>
      <c r="C63" s="105">
        <f>SUM(C58:C62)</f>
        <v>0.4</v>
      </c>
      <c r="D63" s="105">
        <f aca="true" t="shared" si="14" ref="D63:V63">SUM(D58:D62)</f>
        <v>-8</v>
      </c>
      <c r="E63" s="105">
        <f t="shared" si="14"/>
        <v>-38</v>
      </c>
      <c r="F63" s="105">
        <f t="shared" si="14"/>
        <v>-78</v>
      </c>
      <c r="G63" s="105">
        <f t="shared" si="14"/>
        <v>-145.2</v>
      </c>
      <c r="H63" s="105">
        <f t="shared" si="14"/>
        <v>-886.6400000000001</v>
      </c>
      <c r="I63" s="105">
        <f t="shared" si="14"/>
        <v>-1129.16</v>
      </c>
      <c r="J63" s="105">
        <f t="shared" si="14"/>
        <v>-1213.364637212325</v>
      </c>
      <c r="K63" s="105">
        <f t="shared" si="14"/>
        <v>-1206.16</v>
      </c>
      <c r="L63" s="105">
        <f t="shared" si="14"/>
        <v>-1122.16</v>
      </c>
      <c r="M63" s="105">
        <f t="shared" si="14"/>
        <v>-139.79999999999998</v>
      </c>
      <c r="N63" s="105">
        <f t="shared" si="14"/>
        <v>150.25612952606178</v>
      </c>
      <c r="O63" s="105">
        <f t="shared" si="14"/>
        <v>-115.6</v>
      </c>
      <c r="P63" s="105">
        <f t="shared" si="14"/>
        <v>-8.400000000000013</v>
      </c>
      <c r="Q63" s="105">
        <f t="shared" si="14"/>
        <v>-8.400000000000013</v>
      </c>
      <c r="R63" s="105">
        <f t="shared" si="14"/>
        <v>320.40457578582556</v>
      </c>
      <c r="S63" s="105">
        <f t="shared" si="14"/>
        <v>-7.000000000000014</v>
      </c>
      <c r="T63" s="105">
        <f t="shared" si="14"/>
        <v>-7.000000000000014</v>
      </c>
      <c r="U63" s="105">
        <f t="shared" si="14"/>
        <v>-7.000000000000014</v>
      </c>
      <c r="V63" s="105">
        <f t="shared" si="14"/>
        <v>529.7181645600249</v>
      </c>
      <c r="W63" s="93"/>
      <c r="X63" s="93"/>
    </row>
    <row r="64" spans="1:24" ht="13.5" thickBot="1">
      <c r="A64" s="108" t="s">
        <v>117</v>
      </c>
      <c r="B64" s="109"/>
      <c r="C64" s="210">
        <f>SUM(C63:F63)</f>
        <v>-123.6</v>
      </c>
      <c r="D64" s="211"/>
      <c r="E64" s="211"/>
      <c r="F64" s="212"/>
      <c r="G64" s="210">
        <f>SUM(G63:J63)</f>
        <v>-3374.364637212325</v>
      </c>
      <c r="H64" s="211"/>
      <c r="I64" s="211"/>
      <c r="J64" s="212"/>
      <c r="K64" s="213">
        <f>SUM(K63:N63)</f>
        <v>-2317.8638704739387</v>
      </c>
      <c r="L64" s="214"/>
      <c r="M64" s="214"/>
      <c r="N64" s="214"/>
      <c r="O64" s="213">
        <f>SUM(O63:R63)</f>
        <v>188.00457578582555</v>
      </c>
      <c r="P64" s="214"/>
      <c r="Q64" s="214"/>
      <c r="R64" s="215"/>
      <c r="S64" s="214">
        <f>SUM(S63:V63)</f>
        <v>508.71816456002483</v>
      </c>
      <c r="T64" s="214"/>
      <c r="U64" s="214"/>
      <c r="V64" s="215"/>
      <c r="W64" s="12"/>
      <c r="X64" s="12"/>
    </row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</sheetData>
  <mergeCells count="60">
    <mergeCell ref="C33:F33"/>
    <mergeCell ref="S47:V47"/>
    <mergeCell ref="C49:F49"/>
    <mergeCell ref="G49:J49"/>
    <mergeCell ref="K49:N49"/>
    <mergeCell ref="G33:J33"/>
    <mergeCell ref="K33:N33"/>
    <mergeCell ref="G47:J47"/>
    <mergeCell ref="K47:N47"/>
    <mergeCell ref="O33:R33"/>
    <mergeCell ref="S51:V51"/>
    <mergeCell ref="C30:F30"/>
    <mergeCell ref="G30:J30"/>
    <mergeCell ref="K30:N30"/>
    <mergeCell ref="O30:R30"/>
    <mergeCell ref="O49:R49"/>
    <mergeCell ref="S33:V33"/>
    <mergeCell ref="S49:V49"/>
    <mergeCell ref="C47:F47"/>
    <mergeCell ref="O47:R47"/>
    <mergeCell ref="C51:F51"/>
    <mergeCell ref="G51:J51"/>
    <mergeCell ref="K51:N51"/>
    <mergeCell ref="O51:R51"/>
    <mergeCell ref="S52:V52"/>
    <mergeCell ref="C50:F50"/>
    <mergeCell ref="G50:J50"/>
    <mergeCell ref="K50:N50"/>
    <mergeCell ref="C52:F52"/>
    <mergeCell ref="G52:J52"/>
    <mergeCell ref="K52:N52"/>
    <mergeCell ref="O52:R52"/>
    <mergeCell ref="O50:R50"/>
    <mergeCell ref="S50:V50"/>
    <mergeCell ref="O3:R3"/>
    <mergeCell ref="S3:V3"/>
    <mergeCell ref="O18:R18"/>
    <mergeCell ref="S18:V18"/>
    <mergeCell ref="O16:R16"/>
    <mergeCell ref="S16:V16"/>
    <mergeCell ref="S30:V30"/>
    <mergeCell ref="C3:F3"/>
    <mergeCell ref="G3:J3"/>
    <mergeCell ref="K3:N3"/>
    <mergeCell ref="C18:F18"/>
    <mergeCell ref="G18:J18"/>
    <mergeCell ref="K18:N18"/>
    <mergeCell ref="C16:F16"/>
    <mergeCell ref="G16:J16"/>
    <mergeCell ref="K16:N16"/>
    <mergeCell ref="S55:V55"/>
    <mergeCell ref="C64:F64"/>
    <mergeCell ref="G64:J64"/>
    <mergeCell ref="K64:N64"/>
    <mergeCell ref="O64:R64"/>
    <mergeCell ref="S64:V64"/>
    <mergeCell ref="C55:F55"/>
    <mergeCell ref="G55:J55"/>
    <mergeCell ref="K55:N55"/>
    <mergeCell ref="O55:R55"/>
  </mergeCells>
  <printOptions horizontalCentered="1" verticalCentered="1"/>
  <pageMargins left="0.31496062992125984" right="0.4724409448818898" top="0.7480314960629921" bottom="0.6692913385826772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33" sqref="A33"/>
    </sheetView>
  </sheetViews>
  <sheetFormatPr defaultColWidth="9.140625" defaultRowHeight="12.75"/>
  <cols>
    <col min="1" max="1" width="38.7109375" style="0" customWidth="1"/>
    <col min="2" max="21" width="7.00390625" style="0" customWidth="1"/>
    <col min="24" max="24" width="13.140625" style="0" bestFit="1" customWidth="1"/>
  </cols>
  <sheetData>
    <row r="1" spans="1:23" ht="23.25">
      <c r="A1" s="13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15.75" thickBot="1">
      <c r="B3" s="207">
        <v>2007</v>
      </c>
      <c r="C3" s="208"/>
      <c r="D3" s="208"/>
      <c r="E3" s="209"/>
      <c r="F3" s="207">
        <v>2008</v>
      </c>
      <c r="G3" s="208"/>
      <c r="H3" s="208"/>
      <c r="I3" s="209"/>
      <c r="J3" s="207">
        <v>2009</v>
      </c>
      <c r="K3" s="208"/>
      <c r="L3" s="208"/>
      <c r="M3" s="208"/>
      <c r="N3" s="207">
        <v>2010</v>
      </c>
      <c r="O3" s="208"/>
      <c r="P3" s="208"/>
      <c r="Q3" s="209"/>
      <c r="R3" s="208">
        <v>2011</v>
      </c>
      <c r="S3" s="208"/>
      <c r="T3" s="208"/>
      <c r="U3" s="209"/>
      <c r="V3" s="12"/>
      <c r="W3" s="12"/>
    </row>
    <row r="4" spans="1:23" ht="12.75">
      <c r="A4" s="82"/>
      <c r="B4" s="25" t="s">
        <v>3</v>
      </c>
      <c r="C4" s="3" t="s">
        <v>4</v>
      </c>
      <c r="D4" s="3" t="s">
        <v>5</v>
      </c>
      <c r="E4" s="26" t="s">
        <v>6</v>
      </c>
      <c r="F4" s="25" t="s">
        <v>3</v>
      </c>
      <c r="G4" s="3" t="s">
        <v>4</v>
      </c>
      <c r="H4" s="3" t="s">
        <v>5</v>
      </c>
      <c r="I4" s="26" t="s">
        <v>6</v>
      </c>
      <c r="J4" s="25" t="s">
        <v>3</v>
      </c>
      <c r="K4" s="3" t="s">
        <v>4</v>
      </c>
      <c r="L4" s="3" t="s">
        <v>5</v>
      </c>
      <c r="M4" s="70" t="s">
        <v>6</v>
      </c>
      <c r="N4" s="25" t="s">
        <v>3</v>
      </c>
      <c r="O4" s="3" t="s">
        <v>4</v>
      </c>
      <c r="P4" s="3" t="s">
        <v>5</v>
      </c>
      <c r="Q4" s="26" t="s">
        <v>6</v>
      </c>
      <c r="R4" s="76" t="s">
        <v>3</v>
      </c>
      <c r="S4" s="3" t="s">
        <v>4</v>
      </c>
      <c r="T4" s="3" t="s">
        <v>5</v>
      </c>
      <c r="U4" s="26" t="s">
        <v>6</v>
      </c>
      <c r="V4" s="12"/>
      <c r="W4" s="12"/>
    </row>
    <row r="5" spans="1:23" ht="12.75">
      <c r="A5" s="83" t="s">
        <v>42</v>
      </c>
      <c r="B5" s="27"/>
      <c r="C5" s="6"/>
      <c r="D5" s="6"/>
      <c r="E5" s="28"/>
      <c r="F5" s="27"/>
      <c r="G5" s="6"/>
      <c r="H5" s="6"/>
      <c r="I5" s="6"/>
      <c r="J5" s="6">
        <v>50</v>
      </c>
      <c r="K5" s="6">
        <v>50</v>
      </c>
      <c r="L5" s="6">
        <v>50</v>
      </c>
      <c r="M5" s="6">
        <v>50</v>
      </c>
      <c r="N5" s="6">
        <v>50</v>
      </c>
      <c r="O5" s="6">
        <v>50</v>
      </c>
      <c r="P5" s="6">
        <v>50</v>
      </c>
      <c r="Q5" s="6">
        <v>50</v>
      </c>
      <c r="R5" s="6">
        <v>50</v>
      </c>
      <c r="S5" s="6">
        <v>50</v>
      </c>
      <c r="T5" s="6">
        <v>50</v>
      </c>
      <c r="U5" s="6">
        <v>50</v>
      </c>
      <c r="V5" s="12"/>
      <c r="W5" s="12"/>
    </row>
    <row r="6" spans="1:23" ht="12.75">
      <c r="A6" s="83" t="s">
        <v>0</v>
      </c>
      <c r="B6" s="27"/>
      <c r="C6" s="6"/>
      <c r="D6" s="6"/>
      <c r="E6" s="28"/>
      <c r="F6" s="41"/>
      <c r="G6" s="7"/>
      <c r="H6" s="7"/>
      <c r="I6" s="7"/>
      <c r="J6" s="41">
        <v>100</v>
      </c>
      <c r="K6" s="7">
        <f>+J6</f>
        <v>100</v>
      </c>
      <c r="L6" s="7">
        <f>+K6</f>
        <v>100</v>
      </c>
      <c r="M6" s="71">
        <f>+L6</f>
        <v>100</v>
      </c>
      <c r="N6" s="41">
        <f>+J6+J6*N7</f>
        <v>115</v>
      </c>
      <c r="O6" s="7">
        <f>+N6</f>
        <v>115</v>
      </c>
      <c r="P6" s="7">
        <f>+O6</f>
        <v>115</v>
      </c>
      <c r="Q6" s="42">
        <f>+P6</f>
        <v>115</v>
      </c>
      <c r="R6" s="77">
        <f>+N6+N6*R7</f>
        <v>138</v>
      </c>
      <c r="S6" s="7">
        <f>+R6</f>
        <v>138</v>
      </c>
      <c r="T6" s="7">
        <f>+S6</f>
        <v>138</v>
      </c>
      <c r="U6" s="42">
        <f>+T6</f>
        <v>138</v>
      </c>
      <c r="V6" s="12"/>
      <c r="W6" s="12"/>
    </row>
    <row r="7" spans="1:23" s="4" customFormat="1" ht="12">
      <c r="A7" s="84" t="s">
        <v>2</v>
      </c>
      <c r="B7" s="29"/>
      <c r="C7" s="8"/>
      <c r="D7" s="8"/>
      <c r="E7" s="30"/>
      <c r="F7" s="43"/>
      <c r="G7" s="9"/>
      <c r="H7" s="9"/>
      <c r="I7" s="44"/>
      <c r="J7" s="43">
        <v>0.1</v>
      </c>
      <c r="K7" s="9"/>
      <c r="L7" s="9"/>
      <c r="M7" s="72"/>
      <c r="N7" s="43">
        <v>0.15</v>
      </c>
      <c r="O7" s="9"/>
      <c r="P7" s="9"/>
      <c r="Q7" s="44"/>
      <c r="R7" s="78">
        <v>0.2</v>
      </c>
      <c r="S7" s="9"/>
      <c r="T7" s="9"/>
      <c r="U7" s="44"/>
      <c r="V7" s="14"/>
      <c r="W7" s="14"/>
    </row>
    <row r="8" spans="1:23" s="1" customFormat="1" ht="12.75">
      <c r="A8" s="85" t="s">
        <v>7</v>
      </c>
      <c r="B8" s="31"/>
      <c r="C8" s="10"/>
      <c r="D8" s="10"/>
      <c r="E8" s="32"/>
      <c r="F8" s="31"/>
      <c r="G8" s="10"/>
      <c r="H8" s="10"/>
      <c r="I8" s="32"/>
      <c r="J8" s="31">
        <v>91</v>
      </c>
      <c r="K8" s="10">
        <v>91</v>
      </c>
      <c r="L8" s="10">
        <v>91</v>
      </c>
      <c r="M8" s="73">
        <v>91</v>
      </c>
      <c r="N8" s="31">
        <v>91</v>
      </c>
      <c r="O8" s="10">
        <v>91</v>
      </c>
      <c r="P8" s="10">
        <v>91</v>
      </c>
      <c r="Q8" s="32">
        <v>91</v>
      </c>
      <c r="R8" s="79">
        <v>91</v>
      </c>
      <c r="S8" s="10">
        <v>91</v>
      </c>
      <c r="T8" s="10">
        <v>91</v>
      </c>
      <c r="U8" s="32">
        <v>91</v>
      </c>
      <c r="V8" s="15"/>
      <c r="W8" s="15"/>
    </row>
    <row r="9" spans="1:23" ht="12.75">
      <c r="A9" s="83" t="s">
        <v>1</v>
      </c>
      <c r="B9" s="31"/>
      <c r="C9" s="10"/>
      <c r="D9" s="10"/>
      <c r="E9" s="32"/>
      <c r="F9" s="31"/>
      <c r="G9" s="10"/>
      <c r="H9" s="11"/>
      <c r="I9" s="45"/>
      <c r="J9" s="46">
        <v>0.5</v>
      </c>
      <c r="K9" s="46">
        <v>0.5</v>
      </c>
      <c r="L9" s="46">
        <v>0.6</v>
      </c>
      <c r="M9" s="46">
        <v>0.6</v>
      </c>
      <c r="N9" s="46">
        <v>0.7</v>
      </c>
      <c r="O9" s="46">
        <v>0.7</v>
      </c>
      <c r="P9" s="46">
        <v>0.7</v>
      </c>
      <c r="Q9" s="46">
        <v>0.7</v>
      </c>
      <c r="R9" s="46">
        <v>0.8</v>
      </c>
      <c r="S9" s="46">
        <v>0.8</v>
      </c>
      <c r="T9" s="46">
        <v>0.8</v>
      </c>
      <c r="U9" s="46">
        <v>0.8</v>
      </c>
      <c r="V9" s="12"/>
      <c r="W9" s="12"/>
    </row>
    <row r="10" spans="1:23" ht="12.75">
      <c r="A10" s="83" t="s">
        <v>25</v>
      </c>
      <c r="B10" s="31"/>
      <c r="C10" s="10"/>
      <c r="D10" s="10"/>
      <c r="E10" s="32"/>
      <c r="F10" s="31"/>
      <c r="G10" s="10"/>
      <c r="H10" s="10"/>
      <c r="I10" s="32"/>
      <c r="J10" s="31">
        <f>+J5*J9*J8</f>
        <v>2275</v>
      </c>
      <c r="K10" s="10">
        <f aca="true" t="shared" si="0" ref="K10:U10">+K5*K9*K8</f>
        <v>2275</v>
      </c>
      <c r="L10" s="10">
        <f t="shared" si="0"/>
        <v>2730</v>
      </c>
      <c r="M10" s="73">
        <f t="shared" si="0"/>
        <v>2730</v>
      </c>
      <c r="N10" s="31">
        <f t="shared" si="0"/>
        <v>3185</v>
      </c>
      <c r="O10" s="10">
        <f t="shared" si="0"/>
        <v>3185</v>
      </c>
      <c r="P10" s="10">
        <f t="shared" si="0"/>
        <v>3185</v>
      </c>
      <c r="Q10" s="32">
        <f t="shared" si="0"/>
        <v>3185</v>
      </c>
      <c r="R10" s="79">
        <f t="shared" si="0"/>
        <v>3640</v>
      </c>
      <c r="S10" s="10">
        <f t="shared" si="0"/>
        <v>3640</v>
      </c>
      <c r="T10" s="10">
        <f t="shared" si="0"/>
        <v>3640</v>
      </c>
      <c r="U10" s="32">
        <f t="shared" si="0"/>
        <v>3640</v>
      </c>
      <c r="V10" s="12"/>
      <c r="W10" s="12"/>
    </row>
    <row r="11" spans="1:23" ht="24" customHeight="1">
      <c r="A11" s="86"/>
      <c r="B11" s="33"/>
      <c r="C11" s="17"/>
      <c r="D11" s="17"/>
      <c r="E11" s="34"/>
      <c r="F11" s="33"/>
      <c r="G11" s="17"/>
      <c r="H11" s="17"/>
      <c r="I11" s="34"/>
      <c r="J11" s="33"/>
      <c r="K11" s="17"/>
      <c r="L11" s="17"/>
      <c r="M11" s="17"/>
      <c r="N11" s="33"/>
      <c r="O11" s="17"/>
      <c r="P11" s="17"/>
      <c r="Q11" s="34"/>
      <c r="R11" s="17"/>
      <c r="S11" s="17"/>
      <c r="T11" s="17"/>
      <c r="U11" s="34"/>
      <c r="V11" s="12"/>
      <c r="W11" s="12"/>
    </row>
    <row r="12" spans="1:23" ht="15">
      <c r="A12" s="86"/>
      <c r="B12" s="240">
        <v>2007</v>
      </c>
      <c r="C12" s="241"/>
      <c r="D12" s="241"/>
      <c r="E12" s="242"/>
      <c r="F12" s="240">
        <v>2008</v>
      </c>
      <c r="G12" s="241"/>
      <c r="H12" s="241"/>
      <c r="I12" s="242"/>
      <c r="J12" s="240">
        <v>2009</v>
      </c>
      <c r="K12" s="241"/>
      <c r="L12" s="241"/>
      <c r="M12" s="241"/>
      <c r="N12" s="240">
        <v>2010</v>
      </c>
      <c r="O12" s="241"/>
      <c r="P12" s="241"/>
      <c r="Q12" s="242"/>
      <c r="R12" s="241">
        <v>2011</v>
      </c>
      <c r="S12" s="241"/>
      <c r="T12" s="241"/>
      <c r="U12" s="242"/>
      <c r="V12" s="12"/>
      <c r="W12" s="12"/>
    </row>
    <row r="13" spans="1:23" ht="12.75">
      <c r="A13" s="86"/>
      <c r="B13" s="25" t="s">
        <v>3</v>
      </c>
      <c r="C13" s="3" t="s">
        <v>4</v>
      </c>
      <c r="D13" s="3" t="s">
        <v>5</v>
      </c>
      <c r="E13" s="26" t="s">
        <v>6</v>
      </c>
      <c r="F13" s="25" t="s">
        <v>3</v>
      </c>
      <c r="G13" s="3" t="s">
        <v>4</v>
      </c>
      <c r="H13" s="3" t="s">
        <v>5</v>
      </c>
      <c r="I13" s="26" t="s">
        <v>6</v>
      </c>
      <c r="J13" s="25" t="s">
        <v>3</v>
      </c>
      <c r="K13" s="3" t="s">
        <v>4</v>
      </c>
      <c r="L13" s="3" t="s">
        <v>5</v>
      </c>
      <c r="M13" s="70" t="s">
        <v>6</v>
      </c>
      <c r="N13" s="25" t="s">
        <v>3</v>
      </c>
      <c r="O13" s="3" t="s">
        <v>4</v>
      </c>
      <c r="P13" s="3" t="s">
        <v>5</v>
      </c>
      <c r="Q13" s="26" t="s">
        <v>6</v>
      </c>
      <c r="R13" s="76" t="s">
        <v>3</v>
      </c>
      <c r="S13" s="3" t="s">
        <v>4</v>
      </c>
      <c r="T13" s="3" t="s">
        <v>5</v>
      </c>
      <c r="U13" s="26" t="s">
        <v>6</v>
      </c>
      <c r="V13" s="12"/>
      <c r="W13" s="12"/>
    </row>
    <row r="14" spans="1:23" ht="12.75">
      <c r="A14" s="87" t="s">
        <v>8</v>
      </c>
      <c r="B14" s="35">
        <f aca="true" t="shared" si="1" ref="B14:G14">+B6*B10/1000</f>
        <v>0</v>
      </c>
      <c r="C14" s="2">
        <f t="shared" si="1"/>
        <v>0</v>
      </c>
      <c r="D14" s="2">
        <f t="shared" si="1"/>
        <v>0</v>
      </c>
      <c r="E14" s="36">
        <f t="shared" si="1"/>
        <v>0</v>
      </c>
      <c r="F14" s="35">
        <f t="shared" si="1"/>
        <v>0</v>
      </c>
      <c r="G14" s="2">
        <f t="shared" si="1"/>
        <v>0</v>
      </c>
      <c r="H14" s="2">
        <f aca="true" t="shared" si="2" ref="H14:U14">+H6*H10/1000</f>
        <v>0</v>
      </c>
      <c r="I14" s="36">
        <f t="shared" si="2"/>
        <v>0</v>
      </c>
      <c r="J14" s="35">
        <f t="shared" si="2"/>
        <v>227.5</v>
      </c>
      <c r="K14" s="2">
        <f t="shared" si="2"/>
        <v>227.5</v>
      </c>
      <c r="L14" s="2">
        <f t="shared" si="2"/>
        <v>273</v>
      </c>
      <c r="M14" s="74">
        <f t="shared" si="2"/>
        <v>273</v>
      </c>
      <c r="N14" s="35">
        <f t="shared" si="2"/>
        <v>366.275</v>
      </c>
      <c r="O14" s="2">
        <f t="shared" si="2"/>
        <v>366.275</v>
      </c>
      <c r="P14" s="2">
        <f t="shared" si="2"/>
        <v>366.275</v>
      </c>
      <c r="Q14" s="36">
        <f t="shared" si="2"/>
        <v>366.275</v>
      </c>
      <c r="R14" s="80">
        <f t="shared" si="2"/>
        <v>502.32</v>
      </c>
      <c r="S14" s="2">
        <f t="shared" si="2"/>
        <v>502.32</v>
      </c>
      <c r="T14" s="2">
        <f t="shared" si="2"/>
        <v>502.32</v>
      </c>
      <c r="U14" s="36">
        <f t="shared" si="2"/>
        <v>502.32</v>
      </c>
      <c r="V14" s="12"/>
      <c r="W14" s="12"/>
    </row>
    <row r="15" spans="1:23" ht="12.75">
      <c r="A15" s="88" t="s">
        <v>17</v>
      </c>
      <c r="B15" s="236">
        <f>SUM(B14:E14)</f>
        <v>0</v>
      </c>
      <c r="C15" s="237"/>
      <c r="D15" s="237"/>
      <c r="E15" s="238"/>
      <c r="F15" s="236">
        <f>SUM(F14:I14)</f>
        <v>0</v>
      </c>
      <c r="G15" s="237"/>
      <c r="H15" s="237"/>
      <c r="I15" s="238"/>
      <c r="J15" s="236">
        <f>SUM(J14:M14)</f>
        <v>1001</v>
      </c>
      <c r="K15" s="237"/>
      <c r="L15" s="237"/>
      <c r="M15" s="237"/>
      <c r="N15" s="236">
        <f>SUM(N14:Q14)</f>
        <v>1465.1</v>
      </c>
      <c r="O15" s="237"/>
      <c r="P15" s="237"/>
      <c r="Q15" s="238"/>
      <c r="R15" s="237">
        <f>SUM(R14:U14)</f>
        <v>2009.28</v>
      </c>
      <c r="S15" s="237"/>
      <c r="T15" s="237"/>
      <c r="U15" s="238"/>
      <c r="V15" s="12"/>
      <c r="W15" s="12"/>
    </row>
    <row r="16" spans="1:21" s="12" customFormat="1" ht="12.75">
      <c r="A16" s="86"/>
      <c r="B16" s="33"/>
      <c r="C16" s="17"/>
      <c r="D16" s="17"/>
      <c r="E16" s="34"/>
      <c r="F16" s="33"/>
      <c r="G16" s="17"/>
      <c r="H16" s="17"/>
      <c r="I16" s="34"/>
      <c r="J16" s="33"/>
      <c r="K16" s="17"/>
      <c r="L16" s="17"/>
      <c r="M16" s="17"/>
      <c r="N16" s="33"/>
      <c r="O16" s="17"/>
      <c r="P16" s="17"/>
      <c r="Q16" s="34"/>
      <c r="R16" s="17"/>
      <c r="S16" s="17"/>
      <c r="T16" s="17"/>
      <c r="U16" s="34"/>
    </row>
    <row r="17" spans="1:21" s="12" customFormat="1" ht="12.75">
      <c r="A17" s="86"/>
      <c r="B17" s="33"/>
      <c r="C17" s="17"/>
      <c r="D17" s="17"/>
      <c r="E17" s="34"/>
      <c r="F17" s="33"/>
      <c r="G17" s="17"/>
      <c r="H17" s="17"/>
      <c r="I17" s="34"/>
      <c r="J17" s="33"/>
      <c r="K17" s="17"/>
      <c r="L17" s="17"/>
      <c r="M17" s="17"/>
      <c r="N17" s="33"/>
      <c r="O17" s="17"/>
      <c r="P17" s="17"/>
      <c r="Q17" s="34"/>
      <c r="R17" s="17"/>
      <c r="S17" s="17"/>
      <c r="T17" s="17"/>
      <c r="U17" s="34"/>
    </row>
    <row r="18" spans="1:21" s="12" customFormat="1" ht="15">
      <c r="A18" s="86"/>
      <c r="B18" s="240">
        <v>2007</v>
      </c>
      <c r="C18" s="241"/>
      <c r="D18" s="241"/>
      <c r="E18" s="242"/>
      <c r="F18" s="240">
        <v>2008</v>
      </c>
      <c r="G18" s="241"/>
      <c r="H18" s="241"/>
      <c r="I18" s="242"/>
      <c r="J18" s="240">
        <v>2009</v>
      </c>
      <c r="K18" s="241"/>
      <c r="L18" s="241"/>
      <c r="M18" s="241"/>
      <c r="N18" s="240">
        <v>2010</v>
      </c>
      <c r="O18" s="241"/>
      <c r="P18" s="241"/>
      <c r="Q18" s="242"/>
      <c r="R18" s="241">
        <v>2011</v>
      </c>
      <c r="S18" s="241"/>
      <c r="T18" s="241"/>
      <c r="U18" s="242"/>
    </row>
    <row r="19" spans="1:21" s="12" customFormat="1" ht="12.75">
      <c r="A19" s="86"/>
      <c r="B19" s="25" t="s">
        <v>3</v>
      </c>
      <c r="C19" s="3" t="s">
        <v>4</v>
      </c>
      <c r="D19" s="3" t="s">
        <v>5</v>
      </c>
      <c r="E19" s="26" t="s">
        <v>6</v>
      </c>
      <c r="F19" s="25" t="s">
        <v>3</v>
      </c>
      <c r="G19" s="3" t="s">
        <v>4</v>
      </c>
      <c r="H19" s="3" t="s">
        <v>5</v>
      </c>
      <c r="I19" s="26" t="s">
        <v>6</v>
      </c>
      <c r="J19" s="25" t="s">
        <v>3</v>
      </c>
      <c r="K19" s="3" t="s">
        <v>4</v>
      </c>
      <c r="L19" s="3" t="s">
        <v>5</v>
      </c>
      <c r="M19" s="70" t="s">
        <v>6</v>
      </c>
      <c r="N19" s="25" t="s">
        <v>3</v>
      </c>
      <c r="O19" s="3" t="s">
        <v>4</v>
      </c>
      <c r="P19" s="3" t="s">
        <v>5</v>
      </c>
      <c r="Q19" s="26" t="s">
        <v>6</v>
      </c>
      <c r="R19" s="76" t="s">
        <v>3</v>
      </c>
      <c r="S19" s="3" t="s">
        <v>4</v>
      </c>
      <c r="T19" s="3" t="s">
        <v>5</v>
      </c>
      <c r="U19" s="26" t="s">
        <v>6</v>
      </c>
    </row>
    <row r="20" spans="1:21" s="12" customFormat="1" ht="12.75">
      <c r="A20" s="87" t="s">
        <v>10</v>
      </c>
      <c r="B20" s="35"/>
      <c r="C20" s="2"/>
      <c r="D20" s="2"/>
      <c r="E20" s="36"/>
      <c r="F20" s="35"/>
      <c r="G20" s="2"/>
      <c r="H20" s="2"/>
      <c r="I20" s="36"/>
      <c r="J20" s="35"/>
      <c r="K20" s="2"/>
      <c r="L20" s="2"/>
      <c r="M20" s="74"/>
      <c r="N20" s="35"/>
      <c r="O20" s="2"/>
      <c r="P20" s="2"/>
      <c r="Q20" s="36"/>
      <c r="R20" s="80"/>
      <c r="S20" s="2"/>
      <c r="T20" s="2"/>
      <c r="U20" s="36"/>
    </row>
    <row r="21" spans="1:21" s="12" customFormat="1" ht="12.75">
      <c r="A21" s="89" t="s">
        <v>24</v>
      </c>
      <c r="B21" s="35">
        <f aca="true" t="shared" si="3" ref="B21:U21">+B10*5/1000</f>
        <v>0</v>
      </c>
      <c r="C21" s="2">
        <f t="shared" si="3"/>
        <v>0</v>
      </c>
      <c r="D21" s="2">
        <f t="shared" si="3"/>
        <v>0</v>
      </c>
      <c r="E21" s="36">
        <f t="shared" si="3"/>
        <v>0</v>
      </c>
      <c r="F21" s="35">
        <f t="shared" si="3"/>
        <v>0</v>
      </c>
      <c r="G21" s="2">
        <f t="shared" si="3"/>
        <v>0</v>
      </c>
      <c r="H21" s="2">
        <f t="shared" si="3"/>
        <v>0</v>
      </c>
      <c r="I21" s="36">
        <f t="shared" si="3"/>
        <v>0</v>
      </c>
      <c r="J21" s="35">
        <f t="shared" si="3"/>
        <v>11.375</v>
      </c>
      <c r="K21" s="2">
        <f t="shared" si="3"/>
        <v>11.375</v>
      </c>
      <c r="L21" s="2">
        <f t="shared" si="3"/>
        <v>13.65</v>
      </c>
      <c r="M21" s="74">
        <f t="shared" si="3"/>
        <v>13.65</v>
      </c>
      <c r="N21" s="35">
        <f t="shared" si="3"/>
        <v>15.925</v>
      </c>
      <c r="O21" s="2">
        <f t="shared" si="3"/>
        <v>15.925</v>
      </c>
      <c r="P21" s="2">
        <f t="shared" si="3"/>
        <v>15.925</v>
      </c>
      <c r="Q21" s="36">
        <f t="shared" si="3"/>
        <v>15.925</v>
      </c>
      <c r="R21" s="80">
        <f t="shared" si="3"/>
        <v>18.2</v>
      </c>
      <c r="S21" s="2">
        <f t="shared" si="3"/>
        <v>18.2</v>
      </c>
      <c r="T21" s="2">
        <f t="shared" si="3"/>
        <v>18.2</v>
      </c>
      <c r="U21" s="36">
        <f t="shared" si="3"/>
        <v>18.2</v>
      </c>
    </row>
    <row r="22" spans="1:21" s="12" customFormat="1" ht="12.75">
      <c r="A22" s="89" t="s">
        <v>35</v>
      </c>
      <c r="B22" s="35">
        <f aca="true" t="shared" si="4" ref="B22:G22">+B10*10/1000</f>
        <v>0</v>
      </c>
      <c r="C22" s="2">
        <f t="shared" si="4"/>
        <v>0</v>
      </c>
      <c r="D22" s="2">
        <f t="shared" si="4"/>
        <v>0</v>
      </c>
      <c r="E22" s="36">
        <f t="shared" si="4"/>
        <v>0</v>
      </c>
      <c r="F22" s="35">
        <f t="shared" si="4"/>
        <v>0</v>
      </c>
      <c r="G22" s="2">
        <f t="shared" si="4"/>
        <v>0</v>
      </c>
      <c r="H22" s="2">
        <f aca="true" t="shared" si="5" ref="H22:U22">+H10*8/1000</f>
        <v>0</v>
      </c>
      <c r="I22" s="36">
        <f t="shared" si="5"/>
        <v>0</v>
      </c>
      <c r="J22" s="35">
        <f t="shared" si="5"/>
        <v>18.2</v>
      </c>
      <c r="K22" s="2">
        <f t="shared" si="5"/>
        <v>18.2</v>
      </c>
      <c r="L22" s="2">
        <f t="shared" si="5"/>
        <v>21.84</v>
      </c>
      <c r="M22" s="74">
        <f t="shared" si="5"/>
        <v>21.84</v>
      </c>
      <c r="N22" s="35">
        <f t="shared" si="5"/>
        <v>25.48</v>
      </c>
      <c r="O22" s="2">
        <f t="shared" si="5"/>
        <v>25.48</v>
      </c>
      <c r="P22" s="2">
        <f t="shared" si="5"/>
        <v>25.48</v>
      </c>
      <c r="Q22" s="36">
        <f t="shared" si="5"/>
        <v>25.48</v>
      </c>
      <c r="R22" s="80">
        <f t="shared" si="5"/>
        <v>29.12</v>
      </c>
      <c r="S22" s="2">
        <f t="shared" si="5"/>
        <v>29.12</v>
      </c>
      <c r="T22" s="2">
        <f t="shared" si="5"/>
        <v>29.12</v>
      </c>
      <c r="U22" s="36">
        <f t="shared" si="5"/>
        <v>29.12</v>
      </c>
    </row>
    <row r="23" spans="1:21" s="12" customFormat="1" ht="12.75">
      <c r="A23" s="89" t="s">
        <v>20</v>
      </c>
      <c r="B23" s="35">
        <f aca="true" t="shared" si="6" ref="B23:U23">+B10*3/1000</f>
        <v>0</v>
      </c>
      <c r="C23" s="2">
        <f t="shared" si="6"/>
        <v>0</v>
      </c>
      <c r="D23" s="2">
        <f t="shared" si="6"/>
        <v>0</v>
      </c>
      <c r="E23" s="36">
        <f t="shared" si="6"/>
        <v>0</v>
      </c>
      <c r="F23" s="35">
        <f t="shared" si="6"/>
        <v>0</v>
      </c>
      <c r="G23" s="2">
        <f t="shared" si="6"/>
        <v>0</v>
      </c>
      <c r="H23" s="2">
        <f t="shared" si="6"/>
        <v>0</v>
      </c>
      <c r="I23" s="36">
        <f t="shared" si="6"/>
        <v>0</v>
      </c>
      <c r="J23" s="35">
        <f t="shared" si="6"/>
        <v>6.825</v>
      </c>
      <c r="K23" s="2">
        <f t="shared" si="6"/>
        <v>6.825</v>
      </c>
      <c r="L23" s="2">
        <f t="shared" si="6"/>
        <v>8.19</v>
      </c>
      <c r="M23" s="74">
        <f t="shared" si="6"/>
        <v>8.19</v>
      </c>
      <c r="N23" s="35">
        <f t="shared" si="6"/>
        <v>9.555</v>
      </c>
      <c r="O23" s="2">
        <f t="shared" si="6"/>
        <v>9.555</v>
      </c>
      <c r="P23" s="2">
        <f t="shared" si="6"/>
        <v>9.555</v>
      </c>
      <c r="Q23" s="36">
        <f t="shared" si="6"/>
        <v>9.555</v>
      </c>
      <c r="R23" s="80">
        <f t="shared" si="6"/>
        <v>10.92</v>
      </c>
      <c r="S23" s="2">
        <f t="shared" si="6"/>
        <v>10.92</v>
      </c>
      <c r="T23" s="2">
        <f t="shared" si="6"/>
        <v>10.92</v>
      </c>
      <c r="U23" s="36">
        <f t="shared" si="6"/>
        <v>10.92</v>
      </c>
    </row>
    <row r="24" spans="1:21" s="12" customFormat="1" ht="12.75">
      <c r="A24" s="89" t="s">
        <v>33</v>
      </c>
      <c r="B24" s="35">
        <v>0</v>
      </c>
      <c r="C24" s="2">
        <v>0</v>
      </c>
      <c r="D24" s="2">
        <v>0</v>
      </c>
      <c r="E24" s="36">
        <v>0</v>
      </c>
      <c r="F24" s="35">
        <v>0</v>
      </c>
      <c r="G24" s="2">
        <v>0</v>
      </c>
      <c r="H24" s="2"/>
      <c r="I24" s="36"/>
      <c r="J24" s="35">
        <v>3</v>
      </c>
      <c r="K24" s="2">
        <v>3</v>
      </c>
      <c r="L24" s="2">
        <v>4</v>
      </c>
      <c r="M24" s="74">
        <v>4</v>
      </c>
      <c r="N24" s="35">
        <v>5</v>
      </c>
      <c r="O24" s="2">
        <v>5</v>
      </c>
      <c r="P24" s="2">
        <v>5</v>
      </c>
      <c r="Q24" s="36">
        <v>5</v>
      </c>
      <c r="R24" s="80">
        <v>7</v>
      </c>
      <c r="S24" s="2">
        <v>7</v>
      </c>
      <c r="T24" s="2">
        <v>7</v>
      </c>
      <c r="U24" s="36">
        <v>7</v>
      </c>
    </row>
    <row r="25" spans="1:21" s="12" customFormat="1" ht="12.75">
      <c r="A25" s="87" t="s">
        <v>9</v>
      </c>
      <c r="B25" s="35"/>
      <c r="C25" s="2"/>
      <c r="D25" s="2"/>
      <c r="E25" s="36"/>
      <c r="F25" s="35"/>
      <c r="G25" s="2"/>
      <c r="H25" s="2"/>
      <c r="I25" s="36"/>
      <c r="J25" s="35"/>
      <c r="K25" s="2"/>
      <c r="L25" s="2"/>
      <c r="M25" s="74"/>
      <c r="N25" s="35"/>
      <c r="O25" s="2"/>
      <c r="P25" s="2"/>
      <c r="Q25" s="36"/>
      <c r="R25" s="80"/>
      <c r="S25" s="2"/>
      <c r="T25" s="2"/>
      <c r="U25" s="36"/>
    </row>
    <row r="26" spans="1:21" s="12" customFormat="1" ht="12.75">
      <c r="A26" s="89" t="s">
        <v>88</v>
      </c>
      <c r="B26" s="35"/>
      <c r="C26" s="2"/>
      <c r="D26" s="2"/>
      <c r="E26" s="36"/>
      <c r="F26" s="35"/>
      <c r="G26" s="2"/>
      <c r="H26" s="2"/>
      <c r="I26" s="36"/>
      <c r="J26" s="35"/>
      <c r="K26" s="2"/>
      <c r="L26" s="2"/>
      <c r="M26" s="74"/>
      <c r="N26" s="35"/>
      <c r="O26" s="2"/>
      <c r="P26" s="2"/>
      <c r="Q26" s="36"/>
      <c r="R26" s="80"/>
      <c r="S26" s="2"/>
      <c r="T26" s="2"/>
      <c r="U26" s="36"/>
    </row>
    <row r="27" spans="1:21" s="15" customFormat="1" ht="12.75">
      <c r="A27" s="90" t="s">
        <v>21</v>
      </c>
      <c r="B27" s="37"/>
      <c r="C27" s="5"/>
      <c r="D27" s="5"/>
      <c r="E27" s="38"/>
      <c r="F27" s="37"/>
      <c r="G27" s="5"/>
      <c r="H27" s="5">
        <v>1</v>
      </c>
      <c r="I27" s="38">
        <v>1</v>
      </c>
      <c r="J27" s="37">
        <v>1</v>
      </c>
      <c r="K27" s="5">
        <v>1</v>
      </c>
      <c r="L27" s="5">
        <v>1</v>
      </c>
      <c r="M27" s="75">
        <v>1</v>
      </c>
      <c r="N27" s="37">
        <v>2</v>
      </c>
      <c r="O27" s="5">
        <v>2</v>
      </c>
      <c r="P27" s="5">
        <v>2</v>
      </c>
      <c r="Q27" s="38">
        <v>2</v>
      </c>
      <c r="R27" s="81">
        <v>2</v>
      </c>
      <c r="S27" s="5">
        <v>2</v>
      </c>
      <c r="T27" s="5">
        <v>2</v>
      </c>
      <c r="U27" s="38">
        <v>2</v>
      </c>
    </row>
    <row r="28" spans="1:21" s="12" customFormat="1" ht="12.75">
      <c r="A28" s="91" t="s">
        <v>22</v>
      </c>
      <c r="B28" s="35"/>
      <c r="C28" s="2"/>
      <c r="D28" s="2"/>
      <c r="E28" s="36"/>
      <c r="F28" s="35"/>
      <c r="G28" s="2"/>
      <c r="H28" s="2"/>
      <c r="I28" s="36"/>
      <c r="J28" s="35">
        <f aca="true" t="shared" si="7" ref="J28:U28">40/4*J27</f>
        <v>10</v>
      </c>
      <c r="K28" s="2">
        <f t="shared" si="7"/>
        <v>10</v>
      </c>
      <c r="L28" s="2">
        <f t="shared" si="7"/>
        <v>10</v>
      </c>
      <c r="M28" s="74">
        <f t="shared" si="7"/>
        <v>10</v>
      </c>
      <c r="N28" s="35">
        <f t="shared" si="7"/>
        <v>20</v>
      </c>
      <c r="O28" s="2">
        <f t="shared" si="7"/>
        <v>20</v>
      </c>
      <c r="P28" s="2">
        <f t="shared" si="7"/>
        <v>20</v>
      </c>
      <c r="Q28" s="36">
        <f t="shared" si="7"/>
        <v>20</v>
      </c>
      <c r="R28" s="80">
        <f t="shared" si="7"/>
        <v>20</v>
      </c>
      <c r="S28" s="2">
        <f t="shared" si="7"/>
        <v>20</v>
      </c>
      <c r="T28" s="2">
        <f t="shared" si="7"/>
        <v>20</v>
      </c>
      <c r="U28" s="36">
        <f t="shared" si="7"/>
        <v>20</v>
      </c>
    </row>
    <row r="29" spans="1:21" s="12" customFormat="1" ht="12.75">
      <c r="A29" s="87" t="s">
        <v>27</v>
      </c>
      <c r="B29" s="35"/>
      <c r="C29" s="2"/>
      <c r="D29" s="2"/>
      <c r="E29" s="36"/>
      <c r="F29" s="35"/>
      <c r="G29" s="2"/>
      <c r="H29" s="2"/>
      <c r="I29" s="36"/>
      <c r="J29" s="35"/>
      <c r="K29" s="2"/>
      <c r="L29" s="2"/>
      <c r="M29" s="74"/>
      <c r="N29" s="35"/>
      <c r="O29" s="2"/>
      <c r="P29" s="2"/>
      <c r="Q29" s="36"/>
      <c r="R29" s="80"/>
      <c r="S29" s="2"/>
      <c r="T29" s="2"/>
      <c r="U29" s="36"/>
    </row>
    <row r="30" spans="1:21" s="12" customFormat="1" ht="12.75">
      <c r="A30" s="89" t="s">
        <v>36</v>
      </c>
      <c r="B30" s="35"/>
      <c r="C30" s="2"/>
      <c r="D30" s="2"/>
      <c r="E30" s="36"/>
      <c r="F30" s="35"/>
      <c r="G30" s="2"/>
      <c r="H30" s="2"/>
      <c r="I30" s="2"/>
      <c r="J30" s="2">
        <v>35</v>
      </c>
      <c r="K30" s="2">
        <v>35</v>
      </c>
      <c r="L30" s="2">
        <v>35</v>
      </c>
      <c r="M30" s="74">
        <v>35</v>
      </c>
      <c r="N30" s="35">
        <v>40</v>
      </c>
      <c r="O30" s="35">
        <v>40</v>
      </c>
      <c r="P30" s="35">
        <v>40</v>
      </c>
      <c r="Q30" s="35">
        <v>40</v>
      </c>
      <c r="R30" s="80">
        <v>45</v>
      </c>
      <c r="S30" s="80">
        <v>45</v>
      </c>
      <c r="T30" s="80">
        <v>45</v>
      </c>
      <c r="U30" s="80">
        <v>45</v>
      </c>
    </row>
    <row r="31" spans="1:21" s="12" customFormat="1" ht="12.75">
      <c r="A31" s="89" t="s">
        <v>11</v>
      </c>
      <c r="B31" s="35"/>
      <c r="C31" s="2"/>
      <c r="D31" s="2"/>
      <c r="E31" s="36"/>
      <c r="F31" s="35"/>
      <c r="G31" s="2"/>
      <c r="H31" s="2"/>
      <c r="I31" s="36"/>
      <c r="J31" s="35">
        <v>3</v>
      </c>
      <c r="K31" s="2">
        <f aca="true" t="shared" si="8" ref="K31:K36">+$J31/$J$14*K$14</f>
        <v>3</v>
      </c>
      <c r="L31" s="2">
        <f aca="true" t="shared" si="9" ref="L31:U36">+$J31/$J$14*L$14</f>
        <v>3.6</v>
      </c>
      <c r="M31" s="2">
        <f t="shared" si="9"/>
        <v>3.6</v>
      </c>
      <c r="N31" s="2">
        <f t="shared" si="9"/>
        <v>4.83</v>
      </c>
      <c r="O31" s="2">
        <f t="shared" si="9"/>
        <v>4.83</v>
      </c>
      <c r="P31" s="2">
        <f t="shared" si="9"/>
        <v>4.83</v>
      </c>
      <c r="Q31" s="2">
        <f t="shared" si="9"/>
        <v>4.83</v>
      </c>
      <c r="R31" s="2">
        <f t="shared" si="9"/>
        <v>6.624</v>
      </c>
      <c r="S31" s="2">
        <f t="shared" si="9"/>
        <v>6.624</v>
      </c>
      <c r="T31" s="2">
        <f t="shared" si="9"/>
        <v>6.624</v>
      </c>
      <c r="U31" s="2">
        <f t="shared" si="9"/>
        <v>6.624</v>
      </c>
    </row>
    <row r="32" spans="1:21" s="12" customFormat="1" ht="12.75">
      <c r="A32" s="89" t="s">
        <v>12</v>
      </c>
      <c r="B32" s="35"/>
      <c r="C32" s="2"/>
      <c r="D32" s="2"/>
      <c r="E32" s="36"/>
      <c r="F32" s="35"/>
      <c r="G32" s="2"/>
      <c r="H32" s="2"/>
      <c r="I32" s="36"/>
      <c r="J32" s="35">
        <v>3</v>
      </c>
      <c r="K32" s="2">
        <f t="shared" si="8"/>
        <v>3</v>
      </c>
      <c r="L32" s="2">
        <f t="shared" si="9"/>
        <v>3.6</v>
      </c>
      <c r="M32" s="2">
        <f t="shared" si="9"/>
        <v>3.6</v>
      </c>
      <c r="N32" s="2">
        <f t="shared" si="9"/>
        <v>4.83</v>
      </c>
      <c r="O32" s="2">
        <f t="shared" si="9"/>
        <v>4.83</v>
      </c>
      <c r="P32" s="2">
        <f t="shared" si="9"/>
        <v>4.83</v>
      </c>
      <c r="Q32" s="2">
        <f t="shared" si="9"/>
        <v>4.83</v>
      </c>
      <c r="R32" s="2">
        <f t="shared" si="9"/>
        <v>6.624</v>
      </c>
      <c r="S32" s="2">
        <f t="shared" si="9"/>
        <v>6.624</v>
      </c>
      <c r="T32" s="2">
        <f t="shared" si="9"/>
        <v>6.624</v>
      </c>
      <c r="U32" s="2">
        <f t="shared" si="9"/>
        <v>6.624</v>
      </c>
    </row>
    <row r="33" spans="1:21" s="12" customFormat="1" ht="12.75">
      <c r="A33" s="89" t="s">
        <v>15</v>
      </c>
      <c r="B33" s="35"/>
      <c r="C33" s="2"/>
      <c r="D33" s="2"/>
      <c r="E33" s="36"/>
      <c r="F33" s="35"/>
      <c r="G33" s="2"/>
      <c r="H33" s="2"/>
      <c r="I33" s="36"/>
      <c r="J33" s="35">
        <v>3</v>
      </c>
      <c r="K33" s="2">
        <f t="shared" si="8"/>
        <v>3</v>
      </c>
      <c r="L33" s="2">
        <f t="shared" si="9"/>
        <v>3.6</v>
      </c>
      <c r="M33" s="2">
        <f t="shared" si="9"/>
        <v>3.6</v>
      </c>
      <c r="N33" s="2">
        <f t="shared" si="9"/>
        <v>4.83</v>
      </c>
      <c r="O33" s="2">
        <f t="shared" si="9"/>
        <v>4.83</v>
      </c>
      <c r="P33" s="2">
        <f t="shared" si="9"/>
        <v>4.83</v>
      </c>
      <c r="Q33" s="2">
        <f t="shared" si="9"/>
        <v>4.83</v>
      </c>
      <c r="R33" s="2">
        <f t="shared" si="9"/>
        <v>6.624</v>
      </c>
      <c r="S33" s="2">
        <f t="shared" si="9"/>
        <v>6.624</v>
      </c>
      <c r="T33" s="2">
        <f t="shared" si="9"/>
        <v>6.624</v>
      </c>
      <c r="U33" s="2">
        <f t="shared" si="9"/>
        <v>6.624</v>
      </c>
    </row>
    <row r="34" spans="1:21" s="12" customFormat="1" ht="12.75">
      <c r="A34" s="89" t="s">
        <v>19</v>
      </c>
      <c r="B34" s="35"/>
      <c r="C34" s="2"/>
      <c r="D34" s="2"/>
      <c r="E34" s="36"/>
      <c r="F34" s="35"/>
      <c r="G34" s="2"/>
      <c r="H34" s="2"/>
      <c r="I34" s="36"/>
      <c r="J34" s="35">
        <v>3</v>
      </c>
      <c r="K34" s="2">
        <f t="shared" si="8"/>
        <v>3</v>
      </c>
      <c r="L34" s="2">
        <f t="shared" si="9"/>
        <v>3.6</v>
      </c>
      <c r="M34" s="2">
        <f t="shared" si="9"/>
        <v>3.6</v>
      </c>
      <c r="N34" s="2">
        <f t="shared" si="9"/>
        <v>4.83</v>
      </c>
      <c r="O34" s="2">
        <f t="shared" si="9"/>
        <v>4.83</v>
      </c>
      <c r="P34" s="2">
        <f t="shared" si="9"/>
        <v>4.83</v>
      </c>
      <c r="Q34" s="2">
        <f t="shared" si="9"/>
        <v>4.83</v>
      </c>
      <c r="R34" s="2">
        <f t="shared" si="9"/>
        <v>6.624</v>
      </c>
      <c r="S34" s="2">
        <f t="shared" si="9"/>
        <v>6.624</v>
      </c>
      <c r="T34" s="2">
        <f t="shared" si="9"/>
        <v>6.624</v>
      </c>
      <c r="U34" s="2">
        <f t="shared" si="9"/>
        <v>6.624</v>
      </c>
    </row>
    <row r="35" spans="1:21" s="12" customFormat="1" ht="12.75">
      <c r="A35" s="89" t="s">
        <v>13</v>
      </c>
      <c r="B35" s="35"/>
      <c r="C35" s="2"/>
      <c r="D35" s="2"/>
      <c r="E35" s="36"/>
      <c r="F35" s="35"/>
      <c r="G35" s="2"/>
      <c r="H35" s="2"/>
      <c r="I35" s="36"/>
      <c r="J35" s="35">
        <v>3</v>
      </c>
      <c r="K35" s="2">
        <f t="shared" si="8"/>
        <v>3</v>
      </c>
      <c r="L35" s="2">
        <f t="shared" si="9"/>
        <v>3.6</v>
      </c>
      <c r="M35" s="2">
        <f t="shared" si="9"/>
        <v>3.6</v>
      </c>
      <c r="N35" s="2">
        <f t="shared" si="9"/>
        <v>4.83</v>
      </c>
      <c r="O35" s="2">
        <f t="shared" si="9"/>
        <v>4.83</v>
      </c>
      <c r="P35" s="2">
        <f t="shared" si="9"/>
        <v>4.83</v>
      </c>
      <c r="Q35" s="2">
        <f t="shared" si="9"/>
        <v>4.83</v>
      </c>
      <c r="R35" s="2">
        <f t="shared" si="9"/>
        <v>6.624</v>
      </c>
      <c r="S35" s="2">
        <f t="shared" si="9"/>
        <v>6.624</v>
      </c>
      <c r="T35" s="2">
        <f t="shared" si="9"/>
        <v>6.624</v>
      </c>
      <c r="U35" s="2">
        <f t="shared" si="9"/>
        <v>6.624</v>
      </c>
    </row>
    <row r="36" spans="1:21" s="12" customFormat="1" ht="12.75">
      <c r="A36" s="89" t="s">
        <v>26</v>
      </c>
      <c r="B36" s="35"/>
      <c r="C36" s="2"/>
      <c r="D36" s="2"/>
      <c r="E36" s="36"/>
      <c r="F36" s="35"/>
      <c r="G36" s="2"/>
      <c r="H36" s="2"/>
      <c r="I36" s="36"/>
      <c r="J36" s="35">
        <v>3</v>
      </c>
      <c r="K36" s="2">
        <f t="shared" si="8"/>
        <v>3</v>
      </c>
      <c r="L36" s="2">
        <f t="shared" si="9"/>
        <v>3.6</v>
      </c>
      <c r="M36" s="2">
        <f t="shared" si="9"/>
        <v>3.6</v>
      </c>
      <c r="N36" s="2">
        <f t="shared" si="9"/>
        <v>4.83</v>
      </c>
      <c r="O36" s="2">
        <f t="shared" si="9"/>
        <v>4.83</v>
      </c>
      <c r="P36" s="2">
        <f t="shared" si="9"/>
        <v>4.83</v>
      </c>
      <c r="Q36" s="2">
        <f t="shared" si="9"/>
        <v>4.83</v>
      </c>
      <c r="R36" s="2">
        <f t="shared" si="9"/>
        <v>6.624</v>
      </c>
      <c r="S36" s="2">
        <f t="shared" si="9"/>
        <v>6.624</v>
      </c>
      <c r="T36" s="2">
        <f t="shared" si="9"/>
        <v>6.624</v>
      </c>
      <c r="U36" s="2">
        <f t="shared" si="9"/>
        <v>6.624</v>
      </c>
    </row>
    <row r="37" spans="1:21" s="12" customFormat="1" ht="12.75">
      <c r="A37" s="87" t="s">
        <v>18</v>
      </c>
      <c r="B37" s="39"/>
      <c r="C37" s="16"/>
      <c r="D37" s="16"/>
      <c r="E37" s="40"/>
      <c r="F37" s="39"/>
      <c r="G37" s="16"/>
      <c r="H37" s="16"/>
      <c r="I37" s="40"/>
      <c r="J37" s="39"/>
      <c r="K37" s="16"/>
      <c r="L37" s="16"/>
      <c r="M37" s="16"/>
      <c r="N37" s="39"/>
      <c r="O37" s="16"/>
      <c r="P37" s="16"/>
      <c r="Q37" s="40"/>
      <c r="R37" s="16"/>
      <c r="S37" s="16"/>
      <c r="T37" s="16"/>
      <c r="U37" s="40"/>
    </row>
    <row r="38" spans="1:21" s="12" customFormat="1" ht="12.75">
      <c r="A38" s="89" t="s">
        <v>14</v>
      </c>
      <c r="B38" s="35"/>
      <c r="C38" s="2"/>
      <c r="D38" s="2"/>
      <c r="E38" s="36"/>
      <c r="F38" s="35"/>
      <c r="G38" s="2"/>
      <c r="H38" s="2"/>
      <c r="I38" s="36"/>
      <c r="J38" s="35">
        <v>15</v>
      </c>
      <c r="K38" s="2">
        <v>15</v>
      </c>
      <c r="L38" s="2">
        <v>15</v>
      </c>
      <c r="M38" s="74">
        <v>15</v>
      </c>
      <c r="N38" s="35">
        <v>15</v>
      </c>
      <c r="O38" s="2">
        <v>15</v>
      </c>
      <c r="P38" s="2">
        <v>15</v>
      </c>
      <c r="Q38" s="36">
        <v>15</v>
      </c>
      <c r="R38" s="80">
        <v>15</v>
      </c>
      <c r="S38" s="2">
        <v>15</v>
      </c>
      <c r="T38" s="2">
        <v>15</v>
      </c>
      <c r="U38" s="36">
        <v>15</v>
      </c>
    </row>
    <row r="39" spans="1:21" s="12" customFormat="1" ht="12.75">
      <c r="A39" s="89" t="s">
        <v>16</v>
      </c>
      <c r="B39" s="35"/>
      <c r="C39" s="2"/>
      <c r="D39" s="2"/>
      <c r="E39" s="36"/>
      <c r="F39" s="35"/>
      <c r="G39" s="2"/>
      <c r="H39" s="2"/>
      <c r="I39" s="36"/>
      <c r="J39" s="35">
        <v>1</v>
      </c>
      <c r="K39" s="2">
        <v>1</v>
      </c>
      <c r="L39" s="2">
        <v>1</v>
      </c>
      <c r="M39" s="74">
        <v>1</v>
      </c>
      <c r="N39" s="35">
        <v>1</v>
      </c>
      <c r="O39" s="2">
        <v>1</v>
      </c>
      <c r="P39" s="2">
        <v>1</v>
      </c>
      <c r="Q39" s="36">
        <v>1</v>
      </c>
      <c r="R39" s="80">
        <v>1</v>
      </c>
      <c r="S39" s="2">
        <v>1</v>
      </c>
      <c r="T39" s="2">
        <v>1</v>
      </c>
      <c r="U39" s="36">
        <v>1</v>
      </c>
    </row>
    <row r="40" spans="1:24" s="12" customFormat="1" ht="12.75" hidden="1">
      <c r="A40" s="89" t="s">
        <v>28</v>
      </c>
      <c r="B40" s="39"/>
      <c r="C40" s="16"/>
      <c r="D40" s="16"/>
      <c r="E40" s="40"/>
      <c r="F40" s="39"/>
      <c r="G40" s="16"/>
      <c r="H40" s="16"/>
      <c r="I40" s="40"/>
      <c r="J40" s="39"/>
      <c r="K40" s="16"/>
      <c r="L40" s="16"/>
      <c r="M40" s="16"/>
      <c r="N40" s="39"/>
      <c r="O40" s="16"/>
      <c r="P40" s="16"/>
      <c r="Q40" s="40"/>
      <c r="R40" s="16"/>
      <c r="S40" s="16"/>
      <c r="T40" s="16"/>
      <c r="U40" s="40"/>
      <c r="X40" s="51"/>
    </row>
    <row r="41" spans="1:21" s="12" customFormat="1" ht="14.25" customHeight="1" hidden="1">
      <c r="A41" s="89" t="s">
        <v>29</v>
      </c>
      <c r="B41" s="39"/>
      <c r="C41" s="16"/>
      <c r="D41" s="16"/>
      <c r="E41" s="40"/>
      <c r="F41" s="39"/>
      <c r="G41" s="16"/>
      <c r="H41" s="16"/>
      <c r="I41" s="40"/>
      <c r="J41" s="39"/>
      <c r="K41" s="16"/>
      <c r="L41" s="16"/>
      <c r="M41" s="16"/>
      <c r="N41" s="39"/>
      <c r="O41" s="16"/>
      <c r="P41" s="16"/>
      <c r="Q41" s="40"/>
      <c r="R41" s="16"/>
      <c r="S41" s="16"/>
      <c r="T41" s="16"/>
      <c r="U41" s="40"/>
    </row>
    <row r="42" spans="1:21" s="12" customFormat="1" ht="12.75">
      <c r="A42" s="87" t="s">
        <v>30</v>
      </c>
      <c r="B42" s="39"/>
      <c r="C42" s="16"/>
      <c r="D42" s="16"/>
      <c r="E42" s="40"/>
      <c r="F42" s="39"/>
      <c r="G42" s="16"/>
      <c r="H42" s="16"/>
      <c r="I42" s="40"/>
      <c r="J42" s="39"/>
      <c r="K42" s="16"/>
      <c r="L42" s="16"/>
      <c r="M42" s="16"/>
      <c r="N42" s="39"/>
      <c r="O42" s="16"/>
      <c r="P42" s="16"/>
      <c r="Q42" s="40"/>
      <c r="R42" s="16"/>
      <c r="S42" s="16"/>
      <c r="T42" s="16"/>
      <c r="U42" s="40"/>
    </row>
    <row r="43" spans="1:21" s="12" customFormat="1" ht="12.75" hidden="1">
      <c r="A43" s="89" t="s">
        <v>34</v>
      </c>
      <c r="B43" s="39"/>
      <c r="C43" s="16"/>
      <c r="D43" s="16"/>
      <c r="E43" s="40"/>
      <c r="F43" s="39"/>
      <c r="G43" s="16"/>
      <c r="H43" s="16"/>
      <c r="I43" s="40"/>
      <c r="J43" s="39"/>
      <c r="K43" s="16"/>
      <c r="L43" s="16"/>
      <c r="M43" s="16"/>
      <c r="N43" s="39"/>
      <c r="O43" s="16"/>
      <c r="P43" s="16"/>
      <c r="Q43" s="40"/>
      <c r="R43" s="16"/>
      <c r="S43" s="16"/>
      <c r="T43" s="16"/>
      <c r="U43" s="40"/>
    </row>
    <row r="44" spans="1:21" s="12" customFormat="1" ht="12.75">
      <c r="A44" s="89" t="s">
        <v>125</v>
      </c>
      <c r="B44" s="39">
        <f aca="true" t="shared" si="10" ref="B44:G44">+B14*45%</f>
        <v>0</v>
      </c>
      <c r="C44" s="16">
        <f t="shared" si="10"/>
        <v>0</v>
      </c>
      <c r="D44" s="16">
        <f t="shared" si="10"/>
        <v>0</v>
      </c>
      <c r="E44" s="40">
        <f t="shared" si="10"/>
        <v>0</v>
      </c>
      <c r="F44" s="39">
        <f t="shared" si="10"/>
        <v>0</v>
      </c>
      <c r="G44" s="16">
        <f t="shared" si="10"/>
        <v>0</v>
      </c>
      <c r="H44" s="16">
        <f aca="true" t="shared" si="11" ref="H44:U44">+H14*4%</f>
        <v>0</v>
      </c>
      <c r="I44" s="16">
        <f t="shared" si="11"/>
        <v>0</v>
      </c>
      <c r="J44" s="16">
        <f t="shared" si="11"/>
        <v>9.1</v>
      </c>
      <c r="K44" s="16">
        <f t="shared" si="11"/>
        <v>9.1</v>
      </c>
      <c r="L44" s="16">
        <f t="shared" si="11"/>
        <v>10.92</v>
      </c>
      <c r="M44" s="16">
        <f t="shared" si="11"/>
        <v>10.92</v>
      </c>
      <c r="N44" s="16">
        <f t="shared" si="11"/>
        <v>14.651</v>
      </c>
      <c r="O44" s="16">
        <f t="shared" si="11"/>
        <v>14.651</v>
      </c>
      <c r="P44" s="16">
        <f t="shared" si="11"/>
        <v>14.651</v>
      </c>
      <c r="Q44" s="16">
        <f t="shared" si="11"/>
        <v>14.651</v>
      </c>
      <c r="R44" s="16">
        <f t="shared" si="11"/>
        <v>20.0928</v>
      </c>
      <c r="S44" s="16">
        <f t="shared" si="11"/>
        <v>20.0928</v>
      </c>
      <c r="T44" s="16">
        <f t="shared" si="11"/>
        <v>20.0928</v>
      </c>
      <c r="U44" s="16">
        <f t="shared" si="11"/>
        <v>20.0928</v>
      </c>
    </row>
    <row r="45" spans="1:21" s="12" customFormat="1" ht="12.75">
      <c r="A45" s="88" t="s">
        <v>32</v>
      </c>
      <c r="B45" s="48">
        <f aca="true" t="shared" si="12" ref="B45:G45">SUM(B38:B44,B30:B36,B28,B21:B24)</f>
        <v>0</v>
      </c>
      <c r="C45" s="49">
        <f t="shared" si="12"/>
        <v>0</v>
      </c>
      <c r="D45" s="49">
        <f t="shared" si="12"/>
        <v>0</v>
      </c>
      <c r="E45" s="50">
        <f t="shared" si="12"/>
        <v>0</v>
      </c>
      <c r="F45" s="48">
        <f t="shared" si="12"/>
        <v>0</v>
      </c>
      <c r="G45" s="49">
        <f t="shared" si="12"/>
        <v>0</v>
      </c>
      <c r="H45" s="49">
        <f aca="true" t="shared" si="13" ref="H45:U45">SUM(H38:H44,H30:H36,H28,H21:H24)</f>
        <v>0</v>
      </c>
      <c r="I45" s="50">
        <f t="shared" si="13"/>
        <v>0</v>
      </c>
      <c r="J45" s="48">
        <f t="shared" si="13"/>
        <v>127.5</v>
      </c>
      <c r="K45" s="49">
        <f t="shared" si="13"/>
        <v>127.5</v>
      </c>
      <c r="L45" s="49">
        <f t="shared" si="13"/>
        <v>141.19999999999996</v>
      </c>
      <c r="M45" s="49">
        <f t="shared" si="13"/>
        <v>141.19999999999996</v>
      </c>
      <c r="N45" s="48">
        <f t="shared" si="13"/>
        <v>175.59099999999998</v>
      </c>
      <c r="O45" s="49">
        <f t="shared" si="13"/>
        <v>175.59099999999998</v>
      </c>
      <c r="P45" s="49">
        <f t="shared" si="13"/>
        <v>175.59099999999998</v>
      </c>
      <c r="Q45" s="50">
        <f t="shared" si="13"/>
        <v>175.59099999999998</v>
      </c>
      <c r="R45" s="49">
        <f t="shared" si="13"/>
        <v>206.07679999999996</v>
      </c>
      <c r="S45" s="49">
        <f t="shared" si="13"/>
        <v>206.07679999999996</v>
      </c>
      <c r="T45" s="49">
        <f t="shared" si="13"/>
        <v>206.07679999999996</v>
      </c>
      <c r="U45" s="50">
        <f t="shared" si="13"/>
        <v>206.07679999999996</v>
      </c>
    </row>
    <row r="46" spans="1:23" ht="12.75">
      <c r="A46" s="88" t="s">
        <v>66</v>
      </c>
      <c r="B46" s="236">
        <f>SUM(B45:E45)</f>
        <v>0</v>
      </c>
      <c r="C46" s="237"/>
      <c r="D46" s="237"/>
      <c r="E46" s="238"/>
      <c r="F46" s="236">
        <f>SUM(F45:I45)</f>
        <v>0</v>
      </c>
      <c r="G46" s="237"/>
      <c r="H46" s="237"/>
      <c r="I46" s="238"/>
      <c r="J46" s="236">
        <f>SUM(J45:M45)</f>
        <v>537.3999999999999</v>
      </c>
      <c r="K46" s="237"/>
      <c r="L46" s="237"/>
      <c r="M46" s="237"/>
      <c r="N46" s="236">
        <f>SUM(N45:Q45)</f>
        <v>702.3639999999999</v>
      </c>
      <c r="O46" s="237"/>
      <c r="P46" s="237"/>
      <c r="Q46" s="238"/>
      <c r="R46" s="237">
        <f>SUM(R45:U45)</f>
        <v>824.3071999999999</v>
      </c>
      <c r="S46" s="237"/>
      <c r="T46" s="237"/>
      <c r="U46" s="238"/>
      <c r="V46" s="12"/>
      <c r="W46" s="12"/>
    </row>
    <row r="47" spans="1:21" s="12" customFormat="1" ht="12.75">
      <c r="A47" s="86"/>
      <c r="B47" s="33"/>
      <c r="C47" s="17"/>
      <c r="D47" s="17"/>
      <c r="E47" s="34"/>
      <c r="F47" s="33"/>
      <c r="G47" s="17"/>
      <c r="H47" s="17"/>
      <c r="I47" s="34"/>
      <c r="J47" s="33"/>
      <c r="K47" s="17"/>
      <c r="L47" s="17"/>
      <c r="M47" s="17"/>
      <c r="N47" s="33"/>
      <c r="O47" s="17"/>
      <c r="P47" s="17"/>
      <c r="Q47" s="34"/>
      <c r="R47" s="17"/>
      <c r="S47" s="17"/>
      <c r="T47" s="17"/>
      <c r="U47" s="34"/>
    </row>
    <row r="48" spans="1:23" ht="13.5" thickBot="1">
      <c r="A48" s="92" t="s">
        <v>57</v>
      </c>
      <c r="B48" s="239">
        <f>+B15-B46</f>
        <v>0</v>
      </c>
      <c r="C48" s="234"/>
      <c r="D48" s="234"/>
      <c r="E48" s="235"/>
      <c r="F48" s="239">
        <f>+F15-F46</f>
        <v>0</v>
      </c>
      <c r="G48" s="234"/>
      <c r="H48" s="234"/>
      <c r="I48" s="235"/>
      <c r="J48" s="239">
        <f>+J15-J46</f>
        <v>463.60000000000014</v>
      </c>
      <c r="K48" s="234"/>
      <c r="L48" s="234"/>
      <c r="M48" s="234"/>
      <c r="N48" s="239">
        <f>+N15-N46</f>
        <v>762.736</v>
      </c>
      <c r="O48" s="234"/>
      <c r="P48" s="234"/>
      <c r="Q48" s="235"/>
      <c r="R48" s="234">
        <f>+R15-R46</f>
        <v>1184.9728</v>
      </c>
      <c r="S48" s="234"/>
      <c r="T48" s="234"/>
      <c r="U48" s="235"/>
      <c r="V48" s="12"/>
      <c r="W48" s="12"/>
    </row>
    <row r="49" spans="1:24" s="12" customFormat="1" ht="12.75">
      <c r="A49" s="22" t="s">
        <v>59</v>
      </c>
      <c r="B49" s="243">
        <v>0</v>
      </c>
      <c r="C49" s="244"/>
      <c r="D49" s="244"/>
      <c r="E49" s="245"/>
      <c r="F49" s="243">
        <f>-F48*33%</f>
        <v>0</v>
      </c>
      <c r="G49" s="244"/>
      <c r="H49" s="244"/>
      <c r="I49" s="245"/>
      <c r="J49" s="243">
        <f>-J48*33%</f>
        <v>-152.98800000000006</v>
      </c>
      <c r="K49" s="244"/>
      <c r="L49" s="244"/>
      <c r="M49" s="245"/>
      <c r="N49" s="243">
        <f>-N48*33%</f>
        <v>-251.70288000000002</v>
      </c>
      <c r="O49" s="244"/>
      <c r="P49" s="244"/>
      <c r="Q49" s="245"/>
      <c r="R49" s="243">
        <f>-R48*33%</f>
        <v>-391.041024</v>
      </c>
      <c r="S49" s="244"/>
      <c r="T49" s="244"/>
      <c r="U49" s="245"/>
      <c r="X49" s="64"/>
    </row>
    <row r="50" spans="1:21" s="12" customFormat="1" ht="12.75">
      <c r="A50" s="22" t="s">
        <v>60</v>
      </c>
      <c r="B50" s="243">
        <v>0</v>
      </c>
      <c r="C50" s="244"/>
      <c r="D50" s="244"/>
      <c r="E50" s="245"/>
      <c r="F50" s="243">
        <f>-SUM(F48,F28:I28)*4.75%</f>
        <v>0</v>
      </c>
      <c r="G50" s="244"/>
      <c r="H50" s="244"/>
      <c r="I50" s="245"/>
      <c r="J50" s="243">
        <f>-SUM(J48,J28:M28)*4.75%</f>
        <v>-23.921000000000006</v>
      </c>
      <c r="K50" s="244"/>
      <c r="L50" s="244"/>
      <c r="M50" s="245"/>
      <c r="N50" s="243">
        <f>-SUM(N48,N28:Q28)*4.75%</f>
        <v>-40.02996</v>
      </c>
      <c r="O50" s="244"/>
      <c r="P50" s="244"/>
      <c r="Q50" s="245"/>
      <c r="R50" s="243">
        <f>-SUM(R48,R28:U28)*4.75%</f>
        <v>-60.086208</v>
      </c>
      <c r="S50" s="244"/>
      <c r="T50" s="244"/>
      <c r="U50" s="245"/>
    </row>
    <row r="51" spans="1:23" ht="12.75">
      <c r="A51" s="47" t="s">
        <v>61</v>
      </c>
      <c r="B51" s="236">
        <f>SUM(B48:E50)</f>
        <v>0</v>
      </c>
      <c r="C51" s="237"/>
      <c r="D51" s="237"/>
      <c r="E51" s="238"/>
      <c r="F51" s="236">
        <f>SUM(F48:I50)</f>
        <v>0</v>
      </c>
      <c r="G51" s="237"/>
      <c r="H51" s="237"/>
      <c r="I51" s="238"/>
      <c r="J51" s="236">
        <f>SUM(J48:M50)</f>
        <v>286.6910000000001</v>
      </c>
      <c r="K51" s="237"/>
      <c r="L51" s="237"/>
      <c r="M51" s="238"/>
      <c r="N51" s="236">
        <f>SUM(N48:Q50)</f>
        <v>471.0031599999999</v>
      </c>
      <c r="O51" s="237"/>
      <c r="P51" s="237"/>
      <c r="Q51" s="238"/>
      <c r="R51" s="236">
        <f>SUM(R48:U50)</f>
        <v>733.845568</v>
      </c>
      <c r="S51" s="237"/>
      <c r="T51" s="237"/>
      <c r="U51" s="238"/>
      <c r="V51" s="12"/>
      <c r="W51" s="12"/>
    </row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</sheetData>
  <mergeCells count="45">
    <mergeCell ref="R51:U51"/>
    <mergeCell ref="B51:E51"/>
    <mergeCell ref="F51:I51"/>
    <mergeCell ref="J51:M51"/>
    <mergeCell ref="N51:Q51"/>
    <mergeCell ref="R49:U49"/>
    <mergeCell ref="B50:E50"/>
    <mergeCell ref="F50:I50"/>
    <mergeCell ref="J50:M50"/>
    <mergeCell ref="N50:Q50"/>
    <mergeCell ref="R50:U50"/>
    <mergeCell ref="B49:E49"/>
    <mergeCell ref="F49:I49"/>
    <mergeCell ref="J49:M49"/>
    <mergeCell ref="N49:Q49"/>
    <mergeCell ref="B3:E3"/>
    <mergeCell ref="F3:I3"/>
    <mergeCell ref="J3:M3"/>
    <mergeCell ref="B12:E12"/>
    <mergeCell ref="F12:I12"/>
    <mergeCell ref="J12:M12"/>
    <mergeCell ref="N3:Q3"/>
    <mergeCell ref="R3:U3"/>
    <mergeCell ref="N12:Q12"/>
    <mergeCell ref="R12:U12"/>
    <mergeCell ref="R15:U15"/>
    <mergeCell ref="B18:E18"/>
    <mergeCell ref="F18:I18"/>
    <mergeCell ref="J18:M18"/>
    <mergeCell ref="N18:Q18"/>
    <mergeCell ref="R18:U18"/>
    <mergeCell ref="B15:E15"/>
    <mergeCell ref="F15:I15"/>
    <mergeCell ref="J15:M15"/>
    <mergeCell ref="N15:Q15"/>
    <mergeCell ref="R48:U48"/>
    <mergeCell ref="B46:E46"/>
    <mergeCell ref="F46:I46"/>
    <mergeCell ref="J46:M46"/>
    <mergeCell ref="N46:Q46"/>
    <mergeCell ref="R46:U46"/>
    <mergeCell ref="B48:E48"/>
    <mergeCell ref="F48:I48"/>
    <mergeCell ref="J48:M48"/>
    <mergeCell ref="N48:Q48"/>
  </mergeCells>
  <printOptions/>
  <pageMargins left="0.32" right="0.49" top="0.53" bottom="0.41" header="0.4" footer="0.2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0" sqref="R10"/>
    </sheetView>
  </sheetViews>
  <sheetFormatPr defaultColWidth="9.140625" defaultRowHeight="12.75"/>
  <cols>
    <col min="1" max="1" width="54.57421875" style="0" bestFit="1" customWidth="1"/>
    <col min="2" max="7" width="7.00390625" style="0" customWidth="1"/>
    <col min="8" max="9" width="7.57421875" style="0" bestFit="1" customWidth="1"/>
    <col min="10" max="21" width="7.00390625" style="0" customWidth="1"/>
    <col min="24" max="24" width="13.140625" style="0" bestFit="1" customWidth="1"/>
  </cols>
  <sheetData>
    <row r="1" spans="1:23" ht="23.25">
      <c r="A1" s="13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>
      <c r="A3" s="12"/>
      <c r="B3" s="207">
        <v>2007</v>
      </c>
      <c r="C3" s="208"/>
      <c r="D3" s="208"/>
      <c r="E3" s="209"/>
      <c r="F3" s="207">
        <v>2008</v>
      </c>
      <c r="G3" s="208"/>
      <c r="H3" s="208"/>
      <c r="I3" s="209"/>
      <c r="J3" s="207">
        <v>2009</v>
      </c>
      <c r="K3" s="208"/>
      <c r="L3" s="208"/>
      <c r="M3" s="209"/>
      <c r="N3" s="207">
        <v>2010</v>
      </c>
      <c r="O3" s="208"/>
      <c r="P3" s="208"/>
      <c r="Q3" s="209"/>
      <c r="R3" s="207">
        <v>2011</v>
      </c>
      <c r="S3" s="208"/>
      <c r="T3" s="208"/>
      <c r="U3" s="209"/>
      <c r="V3" s="12"/>
      <c r="W3" s="12"/>
    </row>
    <row r="4" spans="1:23" ht="12.75">
      <c r="A4" s="12"/>
      <c r="B4" s="25" t="s">
        <v>3</v>
      </c>
      <c r="C4" s="3" t="s">
        <v>4</v>
      </c>
      <c r="D4" s="3" t="s">
        <v>5</v>
      </c>
      <c r="E4" s="26" t="s">
        <v>6</v>
      </c>
      <c r="F4" s="25" t="s">
        <v>3</v>
      </c>
      <c r="G4" s="3" t="s">
        <v>4</v>
      </c>
      <c r="H4" s="3" t="s">
        <v>5</v>
      </c>
      <c r="I4" s="26" t="s">
        <v>6</v>
      </c>
      <c r="J4" s="25" t="s">
        <v>3</v>
      </c>
      <c r="K4" s="3" t="s">
        <v>4</v>
      </c>
      <c r="L4" s="3" t="s">
        <v>5</v>
      </c>
      <c r="M4" s="26" t="s">
        <v>6</v>
      </c>
      <c r="N4" s="25" t="s">
        <v>3</v>
      </c>
      <c r="O4" s="3" t="s">
        <v>4</v>
      </c>
      <c r="P4" s="3" t="s">
        <v>5</v>
      </c>
      <c r="Q4" s="26" t="s">
        <v>6</v>
      </c>
      <c r="R4" s="25" t="s">
        <v>3</v>
      </c>
      <c r="S4" s="3" t="s">
        <v>4</v>
      </c>
      <c r="T4" s="3" t="s">
        <v>5</v>
      </c>
      <c r="U4" s="26" t="s">
        <v>6</v>
      </c>
      <c r="V4" s="12"/>
      <c r="W4" s="12"/>
    </row>
    <row r="5" spans="1:21" s="12" customFormat="1" ht="15.75">
      <c r="A5" s="144" t="s">
        <v>81</v>
      </c>
      <c r="B5" s="145"/>
      <c r="C5" s="146"/>
      <c r="D5" s="146"/>
      <c r="E5" s="147"/>
      <c r="F5" s="145"/>
      <c r="G5" s="146"/>
      <c r="H5" s="146"/>
      <c r="I5" s="147"/>
      <c r="J5" s="145"/>
      <c r="K5" s="146"/>
      <c r="L5" s="146"/>
      <c r="M5" s="147"/>
      <c r="N5" s="145"/>
      <c r="O5" s="146"/>
      <c r="P5" s="146"/>
      <c r="Q5" s="147"/>
      <c r="R5" s="145"/>
      <c r="S5" s="146"/>
      <c r="T5" s="146"/>
      <c r="U5" s="147"/>
    </row>
    <row r="6" spans="1:23" ht="12.75">
      <c r="A6" s="18" t="s">
        <v>41</v>
      </c>
      <c r="B6" s="52"/>
      <c r="C6" s="53"/>
      <c r="D6" s="53"/>
      <c r="E6" s="54"/>
      <c r="F6" s="52"/>
      <c r="G6" s="53"/>
      <c r="H6" s="53">
        <v>130</v>
      </c>
      <c r="I6" s="54">
        <v>130</v>
      </c>
      <c r="J6" s="52">
        <v>130</v>
      </c>
      <c r="K6" s="53">
        <v>130</v>
      </c>
      <c r="L6" s="53">
        <v>130</v>
      </c>
      <c r="M6" s="54">
        <v>130</v>
      </c>
      <c r="N6" s="52">
        <v>130</v>
      </c>
      <c r="O6" s="53">
        <v>130</v>
      </c>
      <c r="P6" s="53">
        <v>130</v>
      </c>
      <c r="Q6" s="54">
        <v>130</v>
      </c>
      <c r="R6" s="52">
        <v>130</v>
      </c>
      <c r="S6" s="53">
        <v>130</v>
      </c>
      <c r="T6" s="53">
        <v>130</v>
      </c>
      <c r="U6" s="54">
        <v>130</v>
      </c>
      <c r="V6" s="12"/>
      <c r="W6" s="12"/>
    </row>
    <row r="7" spans="1:23" ht="12.75">
      <c r="A7" s="18" t="s">
        <v>50</v>
      </c>
      <c r="B7" s="55"/>
      <c r="C7" s="56"/>
      <c r="D7" s="56"/>
      <c r="E7" s="57"/>
      <c r="F7" s="41"/>
      <c r="G7" s="7"/>
      <c r="H7" s="7">
        <v>50</v>
      </c>
      <c r="I7" s="42">
        <f>+H7</f>
        <v>50</v>
      </c>
      <c r="J7" s="41">
        <f>+I7+I7*J8</f>
        <v>55</v>
      </c>
      <c r="K7" s="7">
        <f>+J7</f>
        <v>55</v>
      </c>
      <c r="L7" s="7">
        <f>+K7</f>
        <v>55</v>
      </c>
      <c r="M7" s="42">
        <f>+L7</f>
        <v>55</v>
      </c>
      <c r="N7" s="41">
        <f>+J7+J7*N8</f>
        <v>63.25</v>
      </c>
      <c r="O7" s="7">
        <f>+N7</f>
        <v>63.25</v>
      </c>
      <c r="P7" s="7">
        <f>+O7</f>
        <v>63.25</v>
      </c>
      <c r="Q7" s="42">
        <f>+P7</f>
        <v>63.25</v>
      </c>
      <c r="R7" s="41">
        <f>+N7+N7*R8</f>
        <v>75.9</v>
      </c>
      <c r="S7" s="7">
        <f>+R7</f>
        <v>75.9</v>
      </c>
      <c r="T7" s="7">
        <f>+S7</f>
        <v>75.9</v>
      </c>
      <c r="U7" s="42">
        <f>+T7</f>
        <v>75.9</v>
      </c>
      <c r="V7" s="12"/>
      <c r="W7" s="12"/>
    </row>
    <row r="8" spans="1:23" s="4" customFormat="1" ht="12">
      <c r="A8" s="19" t="s">
        <v>37</v>
      </c>
      <c r="B8" s="29"/>
      <c r="C8" s="8"/>
      <c r="D8" s="8"/>
      <c r="E8" s="30"/>
      <c r="F8" s="43"/>
      <c r="G8" s="9"/>
      <c r="H8" s="9"/>
      <c r="I8" s="44"/>
      <c r="J8" s="43">
        <v>0.1</v>
      </c>
      <c r="K8" s="9"/>
      <c r="L8" s="9"/>
      <c r="M8" s="44"/>
      <c r="N8" s="43">
        <v>0.15</v>
      </c>
      <c r="O8" s="9"/>
      <c r="P8" s="9"/>
      <c r="Q8" s="44"/>
      <c r="R8" s="43">
        <v>0.2</v>
      </c>
      <c r="S8" s="9"/>
      <c r="T8" s="9"/>
      <c r="U8" s="44"/>
      <c r="V8" s="14"/>
      <c r="W8" s="14"/>
    </row>
    <row r="9" spans="1:23" s="1" customFormat="1" ht="12.75">
      <c r="A9" s="20" t="s">
        <v>7</v>
      </c>
      <c r="B9" s="31"/>
      <c r="C9" s="10"/>
      <c r="D9" s="10"/>
      <c r="E9" s="32"/>
      <c r="F9" s="31"/>
      <c r="G9" s="10"/>
      <c r="H9" s="10">
        <v>91</v>
      </c>
      <c r="I9" s="32">
        <v>91</v>
      </c>
      <c r="J9" s="31">
        <v>91</v>
      </c>
      <c r="K9" s="10">
        <v>91</v>
      </c>
      <c r="L9" s="10">
        <v>91</v>
      </c>
      <c r="M9" s="32">
        <v>91</v>
      </c>
      <c r="N9" s="31">
        <v>91</v>
      </c>
      <c r="O9" s="10">
        <v>91</v>
      </c>
      <c r="P9" s="10">
        <v>91</v>
      </c>
      <c r="Q9" s="32">
        <v>91</v>
      </c>
      <c r="R9" s="31">
        <v>91</v>
      </c>
      <c r="S9" s="10">
        <v>91</v>
      </c>
      <c r="T9" s="10">
        <v>91</v>
      </c>
      <c r="U9" s="32">
        <v>91</v>
      </c>
      <c r="V9" s="15"/>
      <c r="W9" s="15"/>
    </row>
    <row r="10" spans="1:23" ht="12.75">
      <c r="A10" s="18" t="s">
        <v>38</v>
      </c>
      <c r="B10" s="31"/>
      <c r="C10" s="10"/>
      <c r="D10" s="10"/>
      <c r="E10" s="32"/>
      <c r="F10" s="31"/>
      <c r="G10" s="10"/>
      <c r="H10" s="11">
        <v>0.5</v>
      </c>
      <c r="I10" s="11">
        <v>0.5</v>
      </c>
      <c r="J10" s="46">
        <v>0.55</v>
      </c>
      <c r="K10" s="11">
        <v>0.55</v>
      </c>
      <c r="L10" s="11">
        <v>0.55</v>
      </c>
      <c r="M10" s="45">
        <v>0.55</v>
      </c>
      <c r="N10" s="46">
        <v>0.6</v>
      </c>
      <c r="O10" s="11">
        <v>0.6</v>
      </c>
      <c r="P10" s="11">
        <v>0.6</v>
      </c>
      <c r="Q10" s="45">
        <v>0.6</v>
      </c>
      <c r="R10" s="46">
        <v>0.65</v>
      </c>
      <c r="S10" s="11">
        <v>0.65</v>
      </c>
      <c r="T10" s="11">
        <v>0.65</v>
      </c>
      <c r="U10" s="45">
        <v>0.65</v>
      </c>
      <c r="V10" s="12"/>
      <c r="W10" s="12"/>
    </row>
    <row r="11" spans="1:23" ht="12.75">
      <c r="A11" s="18" t="s">
        <v>39</v>
      </c>
      <c r="B11" s="31"/>
      <c r="C11" s="10"/>
      <c r="D11" s="10"/>
      <c r="E11" s="32"/>
      <c r="F11" s="31"/>
      <c r="G11" s="10"/>
      <c r="H11" s="6">
        <v>1</v>
      </c>
      <c r="I11" s="28">
        <v>1</v>
      </c>
      <c r="J11" s="27">
        <v>1</v>
      </c>
      <c r="K11" s="6">
        <v>1</v>
      </c>
      <c r="L11" s="6">
        <v>1</v>
      </c>
      <c r="M11" s="28">
        <v>1</v>
      </c>
      <c r="N11" s="27">
        <v>1</v>
      </c>
      <c r="O11" s="6">
        <v>1</v>
      </c>
      <c r="P11" s="6">
        <v>1</v>
      </c>
      <c r="Q11" s="28">
        <v>1</v>
      </c>
      <c r="R11" s="27">
        <v>1</v>
      </c>
      <c r="S11" s="6">
        <v>1</v>
      </c>
      <c r="T11" s="6">
        <v>1</v>
      </c>
      <c r="U11" s="28">
        <v>1</v>
      </c>
      <c r="V11" s="12"/>
      <c r="W11" s="12"/>
    </row>
    <row r="12" spans="1:23" ht="12.75">
      <c r="A12" s="18" t="s">
        <v>40</v>
      </c>
      <c r="B12" s="31"/>
      <c r="C12" s="10"/>
      <c r="D12" s="10"/>
      <c r="E12" s="32"/>
      <c r="F12" s="31"/>
      <c r="G12" s="10"/>
      <c r="H12" s="10">
        <f>+H6*H10*H9*H11</f>
        <v>5915</v>
      </c>
      <c r="I12" s="32">
        <f aca="true" t="shared" si="0" ref="I12:U12">+I6*I10*I9*I11</f>
        <v>5915</v>
      </c>
      <c r="J12" s="31">
        <f t="shared" si="0"/>
        <v>6506.5</v>
      </c>
      <c r="K12" s="10">
        <f t="shared" si="0"/>
        <v>6506.5</v>
      </c>
      <c r="L12" s="10">
        <f t="shared" si="0"/>
        <v>6506.5</v>
      </c>
      <c r="M12" s="32">
        <f t="shared" si="0"/>
        <v>6506.5</v>
      </c>
      <c r="N12" s="31">
        <f t="shared" si="0"/>
        <v>7098</v>
      </c>
      <c r="O12" s="10">
        <f t="shared" si="0"/>
        <v>7098</v>
      </c>
      <c r="P12" s="10">
        <f t="shared" si="0"/>
        <v>7098</v>
      </c>
      <c r="Q12" s="32">
        <f t="shared" si="0"/>
        <v>7098</v>
      </c>
      <c r="R12" s="31">
        <f t="shared" si="0"/>
        <v>7689.5</v>
      </c>
      <c r="S12" s="10">
        <f t="shared" si="0"/>
        <v>7689.5</v>
      </c>
      <c r="T12" s="10">
        <f t="shared" si="0"/>
        <v>7689.5</v>
      </c>
      <c r="U12" s="32">
        <f t="shared" si="0"/>
        <v>7689.5</v>
      </c>
      <c r="V12" s="12"/>
      <c r="W12" s="12"/>
    </row>
    <row r="13" spans="1:23" ht="12.75">
      <c r="A13" s="18" t="s">
        <v>44</v>
      </c>
      <c r="B13" s="31"/>
      <c r="C13" s="10"/>
      <c r="D13" s="10"/>
      <c r="E13" s="32"/>
      <c r="F13" s="31"/>
      <c r="G13" s="10"/>
      <c r="H13" s="10">
        <v>2</v>
      </c>
      <c r="I13" s="32">
        <v>2</v>
      </c>
      <c r="J13" s="31">
        <v>2</v>
      </c>
      <c r="K13" s="10">
        <v>2</v>
      </c>
      <c r="L13" s="10">
        <v>2</v>
      </c>
      <c r="M13" s="32">
        <v>2</v>
      </c>
      <c r="N13" s="31">
        <v>2</v>
      </c>
      <c r="O13" s="10">
        <v>2</v>
      </c>
      <c r="P13" s="10">
        <v>2</v>
      </c>
      <c r="Q13" s="32">
        <v>2</v>
      </c>
      <c r="R13" s="31">
        <v>2</v>
      </c>
      <c r="S13" s="10">
        <v>2</v>
      </c>
      <c r="T13" s="10">
        <v>2</v>
      </c>
      <c r="U13" s="32">
        <v>2</v>
      </c>
      <c r="V13" s="12"/>
      <c r="W13" s="12"/>
    </row>
    <row r="14" spans="1:23" ht="12.75">
      <c r="A14" s="18" t="s">
        <v>45</v>
      </c>
      <c r="B14" s="31"/>
      <c r="C14" s="10"/>
      <c r="D14" s="10"/>
      <c r="E14" s="32"/>
      <c r="F14" s="31"/>
      <c r="G14" s="10"/>
      <c r="H14" s="10">
        <f>+H12/H13</f>
        <v>2957.5</v>
      </c>
      <c r="I14" s="32">
        <f aca="true" t="shared" si="1" ref="I14:U14">+I12/I13</f>
        <v>2957.5</v>
      </c>
      <c r="J14" s="31">
        <f t="shared" si="1"/>
        <v>3253.25</v>
      </c>
      <c r="K14" s="10">
        <f t="shared" si="1"/>
        <v>3253.25</v>
      </c>
      <c r="L14" s="10">
        <f t="shared" si="1"/>
        <v>3253.25</v>
      </c>
      <c r="M14" s="32">
        <f t="shared" si="1"/>
        <v>3253.25</v>
      </c>
      <c r="N14" s="31">
        <f t="shared" si="1"/>
        <v>3549</v>
      </c>
      <c r="O14" s="10">
        <f t="shared" si="1"/>
        <v>3549</v>
      </c>
      <c r="P14" s="10">
        <f t="shared" si="1"/>
        <v>3549</v>
      </c>
      <c r="Q14" s="32">
        <f t="shared" si="1"/>
        <v>3549</v>
      </c>
      <c r="R14" s="31">
        <f t="shared" si="1"/>
        <v>3844.75</v>
      </c>
      <c r="S14" s="10">
        <f t="shared" si="1"/>
        <v>3844.75</v>
      </c>
      <c r="T14" s="10">
        <f t="shared" si="1"/>
        <v>3844.75</v>
      </c>
      <c r="U14" s="32">
        <f t="shared" si="1"/>
        <v>3844.75</v>
      </c>
      <c r="V14" s="12"/>
      <c r="W14" s="12"/>
    </row>
    <row r="15" spans="1:23" ht="12.75">
      <c r="A15" s="17"/>
      <c r="B15" s="140"/>
      <c r="C15" s="141"/>
      <c r="D15" s="141"/>
      <c r="E15" s="142"/>
      <c r="F15" s="140"/>
      <c r="G15" s="141"/>
      <c r="H15" s="141"/>
      <c r="I15" s="142"/>
      <c r="J15" s="140"/>
      <c r="K15" s="141"/>
      <c r="L15" s="141"/>
      <c r="M15" s="142"/>
      <c r="N15" s="140"/>
      <c r="O15" s="141"/>
      <c r="P15" s="141"/>
      <c r="Q15" s="142"/>
      <c r="R15" s="140"/>
      <c r="S15" s="141"/>
      <c r="T15" s="141"/>
      <c r="U15" s="142"/>
      <c r="V15" s="12"/>
      <c r="W15" s="12"/>
    </row>
    <row r="16" spans="1:23" ht="15.75">
      <c r="A16" s="143" t="s">
        <v>82</v>
      </c>
      <c r="B16" s="140"/>
      <c r="C16" s="141"/>
      <c r="D16" s="141"/>
      <c r="E16" s="142"/>
      <c r="F16" s="140"/>
      <c r="G16" s="141"/>
      <c r="H16" s="141"/>
      <c r="I16" s="142"/>
      <c r="J16" s="140"/>
      <c r="K16" s="141"/>
      <c r="L16" s="141"/>
      <c r="M16" s="142"/>
      <c r="N16" s="140"/>
      <c r="O16" s="141"/>
      <c r="P16" s="141"/>
      <c r="Q16" s="142"/>
      <c r="R16" s="140"/>
      <c r="S16" s="141"/>
      <c r="T16" s="141"/>
      <c r="U16" s="142"/>
      <c r="V16" s="12"/>
      <c r="W16" s="12"/>
    </row>
    <row r="17" spans="1:23" ht="12.75">
      <c r="A17" s="18" t="s">
        <v>83</v>
      </c>
      <c r="B17" s="31"/>
      <c r="C17" s="10"/>
      <c r="D17" s="10"/>
      <c r="E17" s="32"/>
      <c r="F17" s="31"/>
      <c r="G17" s="10"/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2"/>
      <c r="W17" s="12"/>
    </row>
    <row r="18" spans="1:23" ht="12.75">
      <c r="A18" s="18" t="s">
        <v>85</v>
      </c>
      <c r="B18" s="31"/>
      <c r="C18" s="10"/>
      <c r="D18" s="10"/>
      <c r="E18" s="32"/>
      <c r="F18" s="31"/>
      <c r="G18" s="10"/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2"/>
      <c r="W18" s="12"/>
    </row>
    <row r="19" spans="1:23" ht="12.75">
      <c r="A19" s="18" t="s">
        <v>7</v>
      </c>
      <c r="B19" s="31"/>
      <c r="C19" s="10"/>
      <c r="D19" s="10"/>
      <c r="E19" s="32"/>
      <c r="F19" s="31"/>
      <c r="G19" s="10"/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2"/>
      <c r="W19" s="12"/>
    </row>
    <row r="20" spans="1:23" ht="24" customHeight="1">
      <c r="A20" s="12"/>
      <c r="B20" s="33"/>
      <c r="C20" s="17"/>
      <c r="D20" s="17"/>
      <c r="E20" s="34"/>
      <c r="F20" s="33"/>
      <c r="G20" s="17"/>
      <c r="H20" s="17"/>
      <c r="I20" s="34"/>
      <c r="J20" s="33"/>
      <c r="K20" s="17"/>
      <c r="L20" s="17"/>
      <c r="M20" s="34"/>
      <c r="N20" s="33"/>
      <c r="O20" s="17"/>
      <c r="P20" s="17"/>
      <c r="Q20" s="34"/>
      <c r="R20" s="33"/>
      <c r="S20" s="17"/>
      <c r="T20" s="17"/>
      <c r="U20" s="34"/>
      <c r="V20" s="12"/>
      <c r="W20" s="12"/>
    </row>
    <row r="21" spans="1:23" ht="15">
      <c r="A21" s="12"/>
      <c r="B21" s="240">
        <v>2007</v>
      </c>
      <c r="C21" s="241"/>
      <c r="D21" s="241"/>
      <c r="E21" s="242"/>
      <c r="F21" s="240">
        <v>2008</v>
      </c>
      <c r="G21" s="241"/>
      <c r="H21" s="241"/>
      <c r="I21" s="242"/>
      <c r="J21" s="240">
        <v>2009</v>
      </c>
      <c r="K21" s="241"/>
      <c r="L21" s="241"/>
      <c r="M21" s="242"/>
      <c r="N21" s="240">
        <v>2010</v>
      </c>
      <c r="O21" s="241"/>
      <c r="P21" s="241"/>
      <c r="Q21" s="242"/>
      <c r="R21" s="240">
        <v>2011</v>
      </c>
      <c r="S21" s="241"/>
      <c r="T21" s="241"/>
      <c r="U21" s="242"/>
      <c r="V21" s="12"/>
      <c r="W21" s="12"/>
    </row>
    <row r="22" spans="1:23" ht="12.75">
      <c r="A22" s="12"/>
      <c r="B22" s="25" t="s">
        <v>3</v>
      </c>
      <c r="C22" s="3" t="s">
        <v>4</v>
      </c>
      <c r="D22" s="3" t="s">
        <v>5</v>
      </c>
      <c r="E22" s="26" t="s">
        <v>6</v>
      </c>
      <c r="F22" s="25" t="s">
        <v>3</v>
      </c>
      <c r="G22" s="3" t="s">
        <v>4</v>
      </c>
      <c r="H22" s="3" t="s">
        <v>5</v>
      </c>
      <c r="I22" s="26" t="s">
        <v>6</v>
      </c>
      <c r="J22" s="25" t="s">
        <v>3</v>
      </c>
      <c r="K22" s="3" t="s">
        <v>4</v>
      </c>
      <c r="L22" s="3" t="s">
        <v>5</v>
      </c>
      <c r="M22" s="26" t="s">
        <v>6</v>
      </c>
      <c r="N22" s="25" t="s">
        <v>3</v>
      </c>
      <c r="O22" s="3" t="s">
        <v>4</v>
      </c>
      <c r="P22" s="3" t="s">
        <v>5</v>
      </c>
      <c r="Q22" s="26" t="s">
        <v>6</v>
      </c>
      <c r="R22" s="25" t="s">
        <v>3</v>
      </c>
      <c r="S22" s="3" t="s">
        <v>4</v>
      </c>
      <c r="T22" s="3" t="s">
        <v>5</v>
      </c>
      <c r="U22" s="26" t="s">
        <v>6</v>
      </c>
      <c r="V22" s="12"/>
      <c r="W22" s="12"/>
    </row>
    <row r="23" spans="1:23" ht="12.75">
      <c r="A23" s="21" t="s">
        <v>123</v>
      </c>
      <c r="B23" s="58">
        <f aca="true" t="shared" si="2" ref="B23:U23">+B7*B12/1000</f>
        <v>0</v>
      </c>
      <c r="C23" s="59">
        <f t="shared" si="2"/>
        <v>0</v>
      </c>
      <c r="D23" s="59">
        <f t="shared" si="2"/>
        <v>0</v>
      </c>
      <c r="E23" s="60">
        <f t="shared" si="2"/>
        <v>0</v>
      </c>
      <c r="F23" s="58">
        <f t="shared" si="2"/>
        <v>0</v>
      </c>
      <c r="G23" s="59">
        <f t="shared" si="2"/>
        <v>0</v>
      </c>
      <c r="H23" s="59">
        <f>+H7*H12/1000</f>
        <v>295.75</v>
      </c>
      <c r="I23" s="60">
        <f t="shared" si="2"/>
        <v>295.75</v>
      </c>
      <c r="J23" s="58">
        <f t="shared" si="2"/>
        <v>357.8575</v>
      </c>
      <c r="K23" s="59">
        <f t="shared" si="2"/>
        <v>357.8575</v>
      </c>
      <c r="L23" s="59">
        <f t="shared" si="2"/>
        <v>357.8575</v>
      </c>
      <c r="M23" s="60">
        <f t="shared" si="2"/>
        <v>357.8575</v>
      </c>
      <c r="N23" s="58">
        <f t="shared" si="2"/>
        <v>448.9485</v>
      </c>
      <c r="O23" s="59">
        <f t="shared" si="2"/>
        <v>448.9485</v>
      </c>
      <c r="P23" s="59">
        <f t="shared" si="2"/>
        <v>448.9485</v>
      </c>
      <c r="Q23" s="60">
        <f t="shared" si="2"/>
        <v>448.9485</v>
      </c>
      <c r="R23" s="58">
        <f t="shared" si="2"/>
        <v>583.63305</v>
      </c>
      <c r="S23" s="59">
        <f t="shared" si="2"/>
        <v>583.63305</v>
      </c>
      <c r="T23" s="59">
        <f t="shared" si="2"/>
        <v>583.63305</v>
      </c>
      <c r="U23" s="60">
        <f t="shared" si="2"/>
        <v>583.63305</v>
      </c>
      <c r="V23" s="12"/>
      <c r="W23" s="12"/>
    </row>
    <row r="24" spans="1:23" ht="12.75">
      <c r="A24" s="21"/>
      <c r="B24" s="58">
        <f>+B17*B18*B19/1000</f>
        <v>0</v>
      </c>
      <c r="C24" s="59">
        <f aca="true" t="shared" si="3" ref="C24:U24">+C17*C18*C19/1000</f>
        <v>0</v>
      </c>
      <c r="D24" s="59">
        <f t="shared" si="3"/>
        <v>0</v>
      </c>
      <c r="E24" s="60">
        <f t="shared" si="3"/>
        <v>0</v>
      </c>
      <c r="F24" s="58">
        <f t="shared" si="3"/>
        <v>0</v>
      </c>
      <c r="G24" s="59">
        <f t="shared" si="3"/>
        <v>0</v>
      </c>
      <c r="H24" s="59">
        <f t="shared" si="3"/>
        <v>0</v>
      </c>
      <c r="I24" s="60">
        <f t="shared" si="3"/>
        <v>0</v>
      </c>
      <c r="J24" s="58">
        <f t="shared" si="3"/>
        <v>0</v>
      </c>
      <c r="K24" s="59">
        <f t="shared" si="3"/>
        <v>0</v>
      </c>
      <c r="L24" s="59">
        <f t="shared" si="3"/>
        <v>0</v>
      </c>
      <c r="M24" s="60">
        <f t="shared" si="3"/>
        <v>0</v>
      </c>
      <c r="N24" s="58">
        <f t="shared" si="3"/>
        <v>0</v>
      </c>
      <c r="O24" s="59">
        <f t="shared" si="3"/>
        <v>0</v>
      </c>
      <c r="P24" s="59">
        <f t="shared" si="3"/>
        <v>0</v>
      </c>
      <c r="Q24" s="60">
        <f t="shared" si="3"/>
        <v>0</v>
      </c>
      <c r="R24" s="58">
        <f t="shared" si="3"/>
        <v>0</v>
      </c>
      <c r="S24" s="59">
        <f t="shared" si="3"/>
        <v>0</v>
      </c>
      <c r="T24" s="59">
        <f t="shared" si="3"/>
        <v>0</v>
      </c>
      <c r="U24" s="60">
        <f t="shared" si="3"/>
        <v>0</v>
      </c>
      <c r="V24" s="12"/>
      <c r="W24" s="12"/>
    </row>
    <row r="25" spans="1:23" ht="12.75">
      <c r="A25" s="47" t="s">
        <v>17</v>
      </c>
      <c r="B25" s="246">
        <f>SUM(B23:E24)</f>
        <v>0</v>
      </c>
      <c r="C25" s="247"/>
      <c r="D25" s="247"/>
      <c r="E25" s="248"/>
      <c r="F25" s="246">
        <f>SUM(F23:I24)</f>
        <v>591.5</v>
      </c>
      <c r="G25" s="247"/>
      <c r="H25" s="247"/>
      <c r="I25" s="248"/>
      <c r="J25" s="246">
        <f>SUM(J23:M24)</f>
        <v>1431.43</v>
      </c>
      <c r="K25" s="247"/>
      <c r="L25" s="247"/>
      <c r="M25" s="248"/>
      <c r="N25" s="246">
        <f>SUM(N23:Q24)</f>
        <v>1795.794</v>
      </c>
      <c r="O25" s="247"/>
      <c r="P25" s="247"/>
      <c r="Q25" s="248"/>
      <c r="R25" s="246">
        <f>SUM(R23:U24)</f>
        <v>2334.5322</v>
      </c>
      <c r="S25" s="247"/>
      <c r="T25" s="247"/>
      <c r="U25" s="248"/>
      <c r="V25" s="12"/>
      <c r="W25" s="12"/>
    </row>
    <row r="26" spans="2:21" s="12" customFormat="1" ht="12.75">
      <c r="B26" s="33"/>
      <c r="C26" s="17"/>
      <c r="D26" s="17"/>
      <c r="E26" s="34"/>
      <c r="F26" s="33"/>
      <c r="G26" s="17"/>
      <c r="H26" s="17"/>
      <c r="I26" s="34"/>
      <c r="J26" s="33"/>
      <c r="K26" s="17"/>
      <c r="L26" s="17"/>
      <c r="M26" s="34"/>
      <c r="N26" s="33"/>
      <c r="O26" s="17"/>
      <c r="P26" s="17"/>
      <c r="Q26" s="34"/>
      <c r="R26" s="33"/>
      <c r="S26" s="17"/>
      <c r="T26" s="17"/>
      <c r="U26" s="34"/>
    </row>
    <row r="27" spans="2:21" s="12" customFormat="1" ht="12.75">
      <c r="B27" s="33"/>
      <c r="C27" s="17"/>
      <c r="D27" s="17"/>
      <c r="E27" s="34"/>
      <c r="F27" s="33"/>
      <c r="G27" s="17"/>
      <c r="H27" s="17"/>
      <c r="I27" s="34"/>
      <c r="J27" s="33"/>
      <c r="K27" s="17"/>
      <c r="L27" s="17"/>
      <c r="M27" s="34"/>
      <c r="N27" s="33"/>
      <c r="O27" s="17"/>
      <c r="P27" s="17"/>
      <c r="Q27" s="34"/>
      <c r="R27" s="33"/>
      <c r="S27" s="17"/>
      <c r="T27" s="17"/>
      <c r="U27" s="34"/>
    </row>
    <row r="28" spans="2:21" s="12" customFormat="1" ht="15">
      <c r="B28" s="240">
        <v>2007</v>
      </c>
      <c r="C28" s="241"/>
      <c r="D28" s="241"/>
      <c r="E28" s="242"/>
      <c r="F28" s="240">
        <v>2008</v>
      </c>
      <c r="G28" s="241"/>
      <c r="H28" s="241"/>
      <c r="I28" s="242"/>
      <c r="J28" s="240">
        <v>2009</v>
      </c>
      <c r="K28" s="241"/>
      <c r="L28" s="241"/>
      <c r="M28" s="242"/>
      <c r="N28" s="240">
        <v>2010</v>
      </c>
      <c r="O28" s="241"/>
      <c r="P28" s="241"/>
      <c r="Q28" s="242"/>
      <c r="R28" s="240">
        <v>2011</v>
      </c>
      <c r="S28" s="241"/>
      <c r="T28" s="241"/>
      <c r="U28" s="242"/>
    </row>
    <row r="29" spans="2:21" s="12" customFormat="1" ht="12.75">
      <c r="B29" s="25" t="s">
        <v>3</v>
      </c>
      <c r="C29" s="3" t="s">
        <v>4</v>
      </c>
      <c r="D29" s="3" t="s">
        <v>5</v>
      </c>
      <c r="E29" s="26" t="s">
        <v>6</v>
      </c>
      <c r="F29" s="25" t="s">
        <v>3</v>
      </c>
      <c r="G29" s="3" t="s">
        <v>4</v>
      </c>
      <c r="H29" s="3" t="s">
        <v>5</v>
      </c>
      <c r="I29" s="26" t="s">
        <v>6</v>
      </c>
      <c r="J29" s="25" t="s">
        <v>3</v>
      </c>
      <c r="K29" s="3" t="s">
        <v>4</v>
      </c>
      <c r="L29" s="3" t="s">
        <v>5</v>
      </c>
      <c r="M29" s="26" t="s">
        <v>6</v>
      </c>
      <c r="N29" s="25" t="s">
        <v>3</v>
      </c>
      <c r="O29" s="3" t="s">
        <v>4</v>
      </c>
      <c r="P29" s="3" t="s">
        <v>5</v>
      </c>
      <c r="Q29" s="26" t="s">
        <v>6</v>
      </c>
      <c r="R29" s="25" t="s">
        <v>3</v>
      </c>
      <c r="S29" s="3" t="s">
        <v>4</v>
      </c>
      <c r="T29" s="3" t="s">
        <v>5</v>
      </c>
      <c r="U29" s="26" t="s">
        <v>6</v>
      </c>
    </row>
    <row r="30" spans="1:21" s="12" customFormat="1" ht="12.75">
      <c r="A30" s="21" t="s">
        <v>10</v>
      </c>
      <c r="B30" s="58"/>
      <c r="C30" s="59"/>
      <c r="D30" s="59"/>
      <c r="E30" s="60"/>
      <c r="F30" s="58"/>
      <c r="G30" s="59"/>
      <c r="H30" s="59"/>
      <c r="I30" s="60"/>
      <c r="J30" s="58"/>
      <c r="K30" s="59"/>
      <c r="L30" s="59"/>
      <c r="M30" s="60"/>
      <c r="N30" s="58"/>
      <c r="O30" s="59"/>
      <c r="P30" s="59"/>
      <c r="Q30" s="60"/>
      <c r="R30" s="58"/>
      <c r="S30" s="59"/>
      <c r="T30" s="59"/>
      <c r="U30" s="60"/>
    </row>
    <row r="31" spans="1:21" s="12" customFormat="1" ht="12.75">
      <c r="A31" s="22" t="s">
        <v>43</v>
      </c>
      <c r="B31" s="58">
        <f aca="true" t="shared" si="4" ref="B31:G31">+B12*5/1000</f>
        <v>0</v>
      </c>
      <c r="C31" s="59">
        <f t="shared" si="4"/>
        <v>0</v>
      </c>
      <c r="D31" s="59">
        <f t="shared" si="4"/>
        <v>0</v>
      </c>
      <c r="E31" s="60">
        <f t="shared" si="4"/>
        <v>0</v>
      </c>
      <c r="F31" s="58">
        <f t="shared" si="4"/>
        <v>0</v>
      </c>
      <c r="G31" s="59">
        <f t="shared" si="4"/>
        <v>0</v>
      </c>
      <c r="H31" s="59">
        <f>+H14*3/1000</f>
        <v>8.8725</v>
      </c>
      <c r="I31" s="60">
        <f aca="true" t="shared" si="5" ref="I31:U31">+I14*3/1000</f>
        <v>8.8725</v>
      </c>
      <c r="J31" s="58">
        <f t="shared" si="5"/>
        <v>9.75975</v>
      </c>
      <c r="K31" s="59">
        <f t="shared" si="5"/>
        <v>9.75975</v>
      </c>
      <c r="L31" s="59">
        <f t="shared" si="5"/>
        <v>9.75975</v>
      </c>
      <c r="M31" s="60">
        <f t="shared" si="5"/>
        <v>9.75975</v>
      </c>
      <c r="N31" s="58">
        <f t="shared" si="5"/>
        <v>10.647</v>
      </c>
      <c r="O31" s="59">
        <f t="shared" si="5"/>
        <v>10.647</v>
      </c>
      <c r="P31" s="59">
        <f t="shared" si="5"/>
        <v>10.647</v>
      </c>
      <c r="Q31" s="60">
        <f t="shared" si="5"/>
        <v>10.647</v>
      </c>
      <c r="R31" s="58">
        <f t="shared" si="5"/>
        <v>11.53425</v>
      </c>
      <c r="S31" s="59">
        <f t="shared" si="5"/>
        <v>11.53425</v>
      </c>
      <c r="T31" s="59">
        <f t="shared" si="5"/>
        <v>11.53425</v>
      </c>
      <c r="U31" s="60">
        <f t="shared" si="5"/>
        <v>11.53425</v>
      </c>
    </row>
    <row r="32" spans="1:21" s="12" customFormat="1" ht="12.75">
      <c r="A32" s="22" t="s">
        <v>86</v>
      </c>
      <c r="B32" s="58">
        <f aca="true" t="shared" si="6" ref="B32:G32">+B7*35%</f>
        <v>0</v>
      </c>
      <c r="C32" s="59">
        <f t="shared" si="6"/>
        <v>0</v>
      </c>
      <c r="D32" s="59">
        <f t="shared" si="6"/>
        <v>0</v>
      </c>
      <c r="E32" s="60">
        <f t="shared" si="6"/>
        <v>0</v>
      </c>
      <c r="F32" s="58">
        <f t="shared" si="6"/>
        <v>0</v>
      </c>
      <c r="G32" s="59">
        <f t="shared" si="6"/>
        <v>0</v>
      </c>
      <c r="H32" s="59">
        <f>+H23*35%</f>
        <v>103.51249999999999</v>
      </c>
      <c r="I32" s="59">
        <f>+I23*35%</f>
        <v>103.51249999999999</v>
      </c>
      <c r="J32" s="59">
        <f aca="true" t="shared" si="7" ref="J32:U32">+J23*35%</f>
        <v>125.250125</v>
      </c>
      <c r="K32" s="59">
        <f t="shared" si="7"/>
        <v>125.250125</v>
      </c>
      <c r="L32" s="59">
        <f t="shared" si="7"/>
        <v>125.250125</v>
      </c>
      <c r="M32" s="59">
        <f t="shared" si="7"/>
        <v>125.250125</v>
      </c>
      <c r="N32" s="59">
        <f t="shared" si="7"/>
        <v>157.131975</v>
      </c>
      <c r="O32" s="59">
        <f t="shared" si="7"/>
        <v>157.131975</v>
      </c>
      <c r="P32" s="59">
        <f t="shared" si="7"/>
        <v>157.131975</v>
      </c>
      <c r="Q32" s="59">
        <f t="shared" si="7"/>
        <v>157.131975</v>
      </c>
      <c r="R32" s="59">
        <f t="shared" si="7"/>
        <v>204.2715675</v>
      </c>
      <c r="S32" s="59">
        <f t="shared" si="7"/>
        <v>204.2715675</v>
      </c>
      <c r="T32" s="59">
        <f t="shared" si="7"/>
        <v>204.2715675</v>
      </c>
      <c r="U32" s="59">
        <f t="shared" si="7"/>
        <v>204.2715675</v>
      </c>
    </row>
    <row r="33" spans="1:21" s="12" customFormat="1" ht="12.75">
      <c r="A33" s="22" t="s">
        <v>87</v>
      </c>
      <c r="B33" s="58">
        <v>0</v>
      </c>
      <c r="C33" s="59">
        <v>0</v>
      </c>
      <c r="D33" s="59">
        <v>0</v>
      </c>
      <c r="E33" s="60">
        <v>0</v>
      </c>
      <c r="F33" s="58">
        <v>0</v>
      </c>
      <c r="G33" s="59">
        <v>0</v>
      </c>
      <c r="H33" s="59">
        <f>+H24*35%</f>
        <v>0</v>
      </c>
      <c r="I33" s="60">
        <f aca="true" t="shared" si="8" ref="I33:U33">+I24*35%</f>
        <v>0</v>
      </c>
      <c r="J33" s="58">
        <f t="shared" si="8"/>
        <v>0</v>
      </c>
      <c r="K33" s="59">
        <f t="shared" si="8"/>
        <v>0</v>
      </c>
      <c r="L33" s="59">
        <f t="shared" si="8"/>
        <v>0</v>
      </c>
      <c r="M33" s="60">
        <f t="shared" si="8"/>
        <v>0</v>
      </c>
      <c r="N33" s="58">
        <f t="shared" si="8"/>
        <v>0</v>
      </c>
      <c r="O33" s="59">
        <f t="shared" si="8"/>
        <v>0</v>
      </c>
      <c r="P33" s="59">
        <f t="shared" si="8"/>
        <v>0</v>
      </c>
      <c r="Q33" s="60">
        <f t="shared" si="8"/>
        <v>0</v>
      </c>
      <c r="R33" s="58">
        <f t="shared" si="8"/>
        <v>0</v>
      </c>
      <c r="S33" s="59">
        <f t="shared" si="8"/>
        <v>0</v>
      </c>
      <c r="T33" s="59">
        <f t="shared" si="8"/>
        <v>0</v>
      </c>
      <c r="U33" s="60">
        <f t="shared" si="8"/>
        <v>0</v>
      </c>
    </row>
    <row r="34" spans="1:21" s="12" customFormat="1" ht="12.75">
      <c r="A34" s="21" t="s">
        <v>9</v>
      </c>
      <c r="B34" s="58"/>
      <c r="C34" s="59"/>
      <c r="D34" s="59"/>
      <c r="E34" s="60"/>
      <c r="F34" s="58"/>
      <c r="G34" s="59"/>
      <c r="H34" s="59"/>
      <c r="I34" s="60"/>
      <c r="J34" s="58"/>
      <c r="K34" s="59"/>
      <c r="L34" s="59"/>
      <c r="M34" s="60"/>
      <c r="N34" s="58"/>
      <c r="O34" s="59"/>
      <c r="P34" s="59"/>
      <c r="Q34" s="60"/>
      <c r="R34" s="58"/>
      <c r="S34" s="59"/>
      <c r="T34" s="59"/>
      <c r="U34" s="60"/>
    </row>
    <row r="35" spans="1:21" s="12" customFormat="1" ht="12.75">
      <c r="A35" s="22" t="s">
        <v>47</v>
      </c>
      <c r="B35" s="58"/>
      <c r="C35" s="59"/>
      <c r="D35" s="59"/>
      <c r="E35" s="60"/>
      <c r="F35" s="58"/>
      <c r="G35" s="59"/>
      <c r="H35" s="59"/>
      <c r="I35" s="60"/>
      <c r="J35" s="58"/>
      <c r="K35" s="59"/>
      <c r="L35" s="59"/>
      <c r="M35" s="60"/>
      <c r="N35" s="58"/>
      <c r="O35" s="59"/>
      <c r="P35" s="59"/>
      <c r="Q35" s="60"/>
      <c r="R35" s="58"/>
      <c r="S35" s="59"/>
      <c r="T35" s="59"/>
      <c r="U35" s="60"/>
    </row>
    <row r="36" spans="1:21" s="15" customFormat="1" ht="12.75">
      <c r="A36" s="23" t="s">
        <v>21</v>
      </c>
      <c r="B36" s="37"/>
      <c r="C36" s="5"/>
      <c r="D36" s="5"/>
      <c r="E36" s="38"/>
      <c r="F36" s="37"/>
      <c r="G36" s="5"/>
      <c r="H36" s="5">
        <v>1</v>
      </c>
      <c r="I36" s="38">
        <v>1</v>
      </c>
      <c r="J36" s="37">
        <v>1</v>
      </c>
      <c r="K36" s="5">
        <v>1</v>
      </c>
      <c r="L36" s="5">
        <v>1</v>
      </c>
      <c r="M36" s="38">
        <v>1</v>
      </c>
      <c r="N36" s="37">
        <v>1</v>
      </c>
      <c r="O36" s="5">
        <v>1</v>
      </c>
      <c r="P36" s="5">
        <v>1</v>
      </c>
      <c r="Q36" s="38">
        <v>1</v>
      </c>
      <c r="R36" s="37">
        <v>1</v>
      </c>
      <c r="S36" s="5">
        <v>1</v>
      </c>
      <c r="T36" s="5">
        <v>1</v>
      </c>
      <c r="U36" s="38">
        <v>1</v>
      </c>
    </row>
    <row r="37" spans="1:21" s="12" customFormat="1" ht="12.75">
      <c r="A37" s="24" t="s">
        <v>22</v>
      </c>
      <c r="B37" s="58"/>
      <c r="C37" s="59"/>
      <c r="D37" s="59"/>
      <c r="E37" s="60"/>
      <c r="F37" s="58"/>
      <c r="G37" s="59"/>
      <c r="H37" s="59">
        <f>75/4*H36</f>
        <v>18.75</v>
      </c>
      <c r="I37" s="60">
        <f aca="true" t="shared" si="9" ref="I37:U37">75/4*I36</f>
        <v>18.75</v>
      </c>
      <c r="J37" s="58">
        <f t="shared" si="9"/>
        <v>18.75</v>
      </c>
      <c r="K37" s="59">
        <f t="shared" si="9"/>
        <v>18.75</v>
      </c>
      <c r="L37" s="59">
        <f t="shared" si="9"/>
        <v>18.75</v>
      </c>
      <c r="M37" s="60">
        <f t="shared" si="9"/>
        <v>18.75</v>
      </c>
      <c r="N37" s="58">
        <f t="shared" si="9"/>
        <v>18.75</v>
      </c>
      <c r="O37" s="59">
        <f t="shared" si="9"/>
        <v>18.75</v>
      </c>
      <c r="P37" s="59">
        <f t="shared" si="9"/>
        <v>18.75</v>
      </c>
      <c r="Q37" s="60">
        <f t="shared" si="9"/>
        <v>18.75</v>
      </c>
      <c r="R37" s="58">
        <f t="shared" si="9"/>
        <v>18.75</v>
      </c>
      <c r="S37" s="59">
        <f t="shared" si="9"/>
        <v>18.75</v>
      </c>
      <c r="T37" s="59">
        <f t="shared" si="9"/>
        <v>18.75</v>
      </c>
      <c r="U37" s="60">
        <f t="shared" si="9"/>
        <v>18.75</v>
      </c>
    </row>
    <row r="38" spans="1:21" s="12" customFormat="1" ht="12.75">
      <c r="A38" s="22" t="s">
        <v>51</v>
      </c>
      <c r="B38" s="58"/>
      <c r="C38" s="59"/>
      <c r="D38" s="59"/>
      <c r="E38" s="60"/>
      <c r="F38" s="58"/>
      <c r="G38" s="59"/>
      <c r="H38" s="59"/>
      <c r="I38" s="60"/>
      <c r="J38" s="58"/>
      <c r="K38" s="59"/>
      <c r="L38" s="59"/>
      <c r="M38" s="60"/>
      <c r="N38" s="58"/>
      <c r="O38" s="59"/>
      <c r="P38" s="59"/>
      <c r="Q38" s="60"/>
      <c r="R38" s="58"/>
      <c r="S38" s="59"/>
      <c r="T38" s="59"/>
      <c r="U38" s="60"/>
    </row>
    <row r="39" spans="1:21" s="15" customFormat="1" ht="12.75">
      <c r="A39" s="23" t="s">
        <v>21</v>
      </c>
      <c r="B39" s="37"/>
      <c r="C39" s="5"/>
      <c r="D39" s="5"/>
      <c r="E39" s="38"/>
      <c r="F39" s="37"/>
      <c r="G39" s="5"/>
      <c r="H39" s="67">
        <v>1.5</v>
      </c>
      <c r="I39" s="68">
        <v>1.5</v>
      </c>
      <c r="J39" s="69">
        <v>1.5</v>
      </c>
      <c r="K39" s="67">
        <v>1.5</v>
      </c>
      <c r="L39" s="67">
        <v>1.5</v>
      </c>
      <c r="M39" s="68">
        <v>1.5</v>
      </c>
      <c r="N39" s="69">
        <v>2</v>
      </c>
      <c r="O39" s="67">
        <v>2</v>
      </c>
      <c r="P39" s="67">
        <v>2</v>
      </c>
      <c r="Q39" s="68">
        <v>2</v>
      </c>
      <c r="R39" s="69">
        <v>2</v>
      </c>
      <c r="S39" s="67">
        <v>2</v>
      </c>
      <c r="T39" s="67">
        <v>2</v>
      </c>
      <c r="U39" s="68">
        <v>2</v>
      </c>
    </row>
    <row r="40" spans="1:21" s="12" customFormat="1" ht="12.75">
      <c r="A40" s="24" t="s">
        <v>22</v>
      </c>
      <c r="B40" s="58"/>
      <c r="C40" s="59"/>
      <c r="D40" s="59"/>
      <c r="E40" s="60"/>
      <c r="F40" s="58"/>
      <c r="G40" s="59"/>
      <c r="H40" s="59">
        <f>40/4*H39</f>
        <v>15</v>
      </c>
      <c r="I40" s="60">
        <f aca="true" t="shared" si="10" ref="I40:U40">40/4*I39</f>
        <v>15</v>
      </c>
      <c r="J40" s="58">
        <f t="shared" si="10"/>
        <v>15</v>
      </c>
      <c r="K40" s="59">
        <f t="shared" si="10"/>
        <v>15</v>
      </c>
      <c r="L40" s="59">
        <f t="shared" si="10"/>
        <v>15</v>
      </c>
      <c r="M40" s="60">
        <f t="shared" si="10"/>
        <v>15</v>
      </c>
      <c r="N40" s="58">
        <f t="shared" si="10"/>
        <v>20</v>
      </c>
      <c r="O40" s="59">
        <f t="shared" si="10"/>
        <v>20</v>
      </c>
      <c r="P40" s="59">
        <f t="shared" si="10"/>
        <v>20</v>
      </c>
      <c r="Q40" s="60">
        <f t="shared" si="10"/>
        <v>20</v>
      </c>
      <c r="R40" s="58">
        <f t="shared" si="10"/>
        <v>20</v>
      </c>
      <c r="S40" s="59">
        <f t="shared" si="10"/>
        <v>20</v>
      </c>
      <c r="T40" s="59">
        <f t="shared" si="10"/>
        <v>20</v>
      </c>
      <c r="U40" s="60">
        <f t="shared" si="10"/>
        <v>20</v>
      </c>
    </row>
    <row r="41" spans="1:21" s="12" customFormat="1" ht="12.75">
      <c r="A41" s="22" t="s">
        <v>23</v>
      </c>
      <c r="B41" s="58"/>
      <c r="C41" s="59"/>
      <c r="D41" s="59"/>
      <c r="E41" s="60"/>
      <c r="F41" s="58"/>
      <c r="G41" s="59"/>
      <c r="H41" s="59"/>
      <c r="I41" s="60"/>
      <c r="J41" s="58"/>
      <c r="K41" s="59"/>
      <c r="L41" s="59"/>
      <c r="M41" s="60"/>
      <c r="N41" s="58"/>
      <c r="O41" s="59"/>
      <c r="P41" s="59"/>
      <c r="Q41" s="60"/>
      <c r="R41" s="58"/>
      <c r="S41" s="59"/>
      <c r="T41" s="59"/>
      <c r="U41" s="60"/>
    </row>
    <row r="42" spans="1:21" s="15" customFormat="1" ht="12.75">
      <c r="A42" s="23" t="s">
        <v>21</v>
      </c>
      <c r="B42" s="37"/>
      <c r="C42" s="5"/>
      <c r="D42" s="5"/>
      <c r="E42" s="38"/>
      <c r="F42" s="37"/>
      <c r="G42" s="5"/>
      <c r="H42" s="5">
        <v>3</v>
      </c>
      <c r="I42" s="38">
        <v>3</v>
      </c>
      <c r="J42" s="37">
        <v>3</v>
      </c>
      <c r="K42" s="5">
        <v>3</v>
      </c>
      <c r="L42" s="5">
        <v>3</v>
      </c>
      <c r="M42" s="38">
        <v>3</v>
      </c>
      <c r="N42" s="37">
        <v>4</v>
      </c>
      <c r="O42" s="5">
        <v>4</v>
      </c>
      <c r="P42" s="5">
        <v>4</v>
      </c>
      <c r="Q42" s="38">
        <v>4</v>
      </c>
      <c r="R42" s="37">
        <v>4</v>
      </c>
      <c r="S42" s="5">
        <v>4</v>
      </c>
      <c r="T42" s="5">
        <v>4</v>
      </c>
      <c r="U42" s="38">
        <v>4</v>
      </c>
    </row>
    <row r="43" spans="1:21" s="12" customFormat="1" ht="12.75">
      <c r="A43" s="24" t="s">
        <v>22</v>
      </c>
      <c r="B43" s="58"/>
      <c r="C43" s="59"/>
      <c r="D43" s="59"/>
      <c r="E43" s="60"/>
      <c r="F43" s="58"/>
      <c r="G43" s="59"/>
      <c r="H43" s="59">
        <f aca="true" t="shared" si="11" ref="H43:U43">30/4*H42</f>
        <v>22.5</v>
      </c>
      <c r="I43" s="60">
        <f t="shared" si="11"/>
        <v>22.5</v>
      </c>
      <c r="J43" s="58">
        <f t="shared" si="11"/>
        <v>22.5</v>
      </c>
      <c r="K43" s="59">
        <f t="shared" si="11"/>
        <v>22.5</v>
      </c>
      <c r="L43" s="59">
        <f t="shared" si="11"/>
        <v>22.5</v>
      </c>
      <c r="M43" s="60">
        <f t="shared" si="11"/>
        <v>22.5</v>
      </c>
      <c r="N43" s="58">
        <f t="shared" si="11"/>
        <v>30</v>
      </c>
      <c r="O43" s="59">
        <f t="shared" si="11"/>
        <v>30</v>
      </c>
      <c r="P43" s="59">
        <f t="shared" si="11"/>
        <v>30</v>
      </c>
      <c r="Q43" s="60">
        <f t="shared" si="11"/>
        <v>30</v>
      </c>
      <c r="R43" s="58">
        <f t="shared" si="11"/>
        <v>30</v>
      </c>
      <c r="S43" s="59">
        <f t="shared" si="11"/>
        <v>30</v>
      </c>
      <c r="T43" s="59">
        <f t="shared" si="11"/>
        <v>30</v>
      </c>
      <c r="U43" s="60">
        <f t="shared" si="11"/>
        <v>30</v>
      </c>
    </row>
    <row r="44" spans="1:21" s="12" customFormat="1" ht="12.75">
      <c r="A44" s="22" t="s">
        <v>48</v>
      </c>
      <c r="B44" s="58"/>
      <c r="C44" s="59"/>
      <c r="D44" s="59"/>
      <c r="E44" s="60"/>
      <c r="F44" s="58"/>
      <c r="G44" s="59"/>
      <c r="H44" s="59"/>
      <c r="I44" s="60"/>
      <c r="J44" s="58"/>
      <c r="K44" s="59"/>
      <c r="L44" s="59"/>
      <c r="M44" s="60"/>
      <c r="N44" s="58"/>
      <c r="O44" s="59"/>
      <c r="P44" s="59"/>
      <c r="Q44" s="60"/>
      <c r="R44" s="58"/>
      <c r="S44" s="59"/>
      <c r="T44" s="59"/>
      <c r="U44" s="60"/>
    </row>
    <row r="45" spans="1:21" s="12" customFormat="1" ht="12.75">
      <c r="A45" s="23" t="s">
        <v>21</v>
      </c>
      <c r="B45" s="37"/>
      <c r="C45" s="5"/>
      <c r="D45" s="5"/>
      <c r="E45" s="38"/>
      <c r="F45" s="37"/>
      <c r="G45" s="5"/>
      <c r="H45" s="5">
        <v>1</v>
      </c>
      <c r="I45" s="38">
        <v>1</v>
      </c>
      <c r="J45" s="37">
        <v>1</v>
      </c>
      <c r="K45" s="5">
        <v>1</v>
      </c>
      <c r="L45" s="5">
        <v>1</v>
      </c>
      <c r="M45" s="38">
        <v>1</v>
      </c>
      <c r="N45" s="37">
        <v>1</v>
      </c>
      <c r="O45" s="5">
        <v>1</v>
      </c>
      <c r="P45" s="5">
        <v>1</v>
      </c>
      <c r="Q45" s="38">
        <v>1</v>
      </c>
      <c r="R45" s="37">
        <v>1</v>
      </c>
      <c r="S45" s="5">
        <v>1</v>
      </c>
      <c r="T45" s="5">
        <v>1</v>
      </c>
      <c r="U45" s="38">
        <v>1</v>
      </c>
    </row>
    <row r="46" spans="1:21" s="12" customFormat="1" ht="12.75">
      <c r="A46" s="24" t="s">
        <v>22</v>
      </c>
      <c r="B46" s="58"/>
      <c r="C46" s="59"/>
      <c r="D46" s="59"/>
      <c r="E46" s="60"/>
      <c r="F46" s="58"/>
      <c r="G46" s="59"/>
      <c r="H46" s="59">
        <f aca="true" t="shared" si="12" ref="H46:U46">30/4*H45</f>
        <v>7.5</v>
      </c>
      <c r="I46" s="60">
        <f t="shared" si="12"/>
        <v>7.5</v>
      </c>
      <c r="J46" s="58">
        <f t="shared" si="12"/>
        <v>7.5</v>
      </c>
      <c r="K46" s="59">
        <f t="shared" si="12"/>
        <v>7.5</v>
      </c>
      <c r="L46" s="59">
        <f t="shared" si="12"/>
        <v>7.5</v>
      </c>
      <c r="M46" s="60">
        <f t="shared" si="12"/>
        <v>7.5</v>
      </c>
      <c r="N46" s="58">
        <f t="shared" si="12"/>
        <v>7.5</v>
      </c>
      <c r="O46" s="59">
        <f t="shared" si="12"/>
        <v>7.5</v>
      </c>
      <c r="P46" s="59">
        <f t="shared" si="12"/>
        <v>7.5</v>
      </c>
      <c r="Q46" s="60">
        <f t="shared" si="12"/>
        <v>7.5</v>
      </c>
      <c r="R46" s="58">
        <f t="shared" si="12"/>
        <v>7.5</v>
      </c>
      <c r="S46" s="59">
        <f t="shared" si="12"/>
        <v>7.5</v>
      </c>
      <c r="T46" s="59">
        <f t="shared" si="12"/>
        <v>7.5</v>
      </c>
      <c r="U46" s="60">
        <f t="shared" si="12"/>
        <v>7.5</v>
      </c>
    </row>
    <row r="47" spans="1:21" s="12" customFormat="1" ht="12.75">
      <c r="A47" s="22" t="s">
        <v>49</v>
      </c>
      <c r="B47" s="58"/>
      <c r="C47" s="59"/>
      <c r="D47" s="59"/>
      <c r="E47" s="60"/>
      <c r="F47" s="58"/>
      <c r="G47" s="59"/>
      <c r="H47" s="59"/>
      <c r="I47" s="60"/>
      <c r="J47" s="58"/>
      <c r="K47" s="59"/>
      <c r="L47" s="59"/>
      <c r="M47" s="60"/>
      <c r="N47" s="58"/>
      <c r="O47" s="59"/>
      <c r="P47" s="59"/>
      <c r="Q47" s="60"/>
      <c r="R47" s="58"/>
      <c r="S47" s="59"/>
      <c r="T47" s="59"/>
      <c r="U47" s="60"/>
    </row>
    <row r="48" spans="1:21" s="12" customFormat="1" ht="12.75">
      <c r="A48" s="23" t="s">
        <v>21</v>
      </c>
      <c r="B48" s="37"/>
      <c r="C48" s="5"/>
      <c r="D48" s="5"/>
      <c r="E48" s="38"/>
      <c r="F48" s="37"/>
      <c r="G48" s="5"/>
      <c r="H48" s="5">
        <v>2</v>
      </c>
      <c r="I48" s="38">
        <v>2</v>
      </c>
      <c r="J48" s="37">
        <v>2</v>
      </c>
      <c r="K48" s="5">
        <v>2</v>
      </c>
      <c r="L48" s="5">
        <v>2</v>
      </c>
      <c r="M48" s="38">
        <v>2</v>
      </c>
      <c r="N48" s="37">
        <v>3</v>
      </c>
      <c r="O48" s="5">
        <v>3</v>
      </c>
      <c r="P48" s="5">
        <v>3</v>
      </c>
      <c r="Q48" s="38">
        <v>3</v>
      </c>
      <c r="R48" s="37">
        <v>3</v>
      </c>
      <c r="S48" s="5">
        <v>3</v>
      </c>
      <c r="T48" s="5">
        <v>3</v>
      </c>
      <c r="U48" s="38">
        <v>3</v>
      </c>
    </row>
    <row r="49" spans="1:21" s="12" customFormat="1" ht="12.75">
      <c r="A49" s="24" t="s">
        <v>22</v>
      </c>
      <c r="B49" s="58"/>
      <c r="C49" s="59"/>
      <c r="D49" s="59"/>
      <c r="E49" s="60"/>
      <c r="F49" s="58"/>
      <c r="G49" s="59"/>
      <c r="H49" s="59">
        <f>20/4*H48</f>
        <v>10</v>
      </c>
      <c r="I49" s="60">
        <f aca="true" t="shared" si="13" ref="I49:U49">20/4*I48</f>
        <v>10</v>
      </c>
      <c r="J49" s="58">
        <f t="shared" si="13"/>
        <v>10</v>
      </c>
      <c r="K49" s="59">
        <f t="shared" si="13"/>
        <v>10</v>
      </c>
      <c r="L49" s="59">
        <f t="shared" si="13"/>
        <v>10</v>
      </c>
      <c r="M49" s="60">
        <f t="shared" si="13"/>
        <v>10</v>
      </c>
      <c r="N49" s="58">
        <f t="shared" si="13"/>
        <v>15</v>
      </c>
      <c r="O49" s="59">
        <f t="shared" si="13"/>
        <v>15</v>
      </c>
      <c r="P49" s="59">
        <f t="shared" si="13"/>
        <v>15</v>
      </c>
      <c r="Q49" s="60">
        <f t="shared" si="13"/>
        <v>15</v>
      </c>
      <c r="R49" s="58">
        <f t="shared" si="13"/>
        <v>15</v>
      </c>
      <c r="S49" s="59">
        <f t="shared" si="13"/>
        <v>15</v>
      </c>
      <c r="T49" s="59">
        <f t="shared" si="13"/>
        <v>15</v>
      </c>
      <c r="U49" s="60">
        <f t="shared" si="13"/>
        <v>15</v>
      </c>
    </row>
    <row r="50" spans="1:21" s="12" customFormat="1" ht="12.75">
      <c r="A50" s="21" t="s">
        <v>27</v>
      </c>
      <c r="B50" s="58"/>
      <c r="C50" s="59"/>
      <c r="D50" s="59"/>
      <c r="E50" s="60"/>
      <c r="F50" s="58"/>
      <c r="G50" s="59"/>
      <c r="H50" s="59"/>
      <c r="I50" s="60"/>
      <c r="J50" s="58"/>
      <c r="K50" s="59"/>
      <c r="L50" s="59"/>
      <c r="M50" s="60"/>
      <c r="N50" s="58"/>
      <c r="O50" s="59"/>
      <c r="P50" s="59"/>
      <c r="Q50" s="60"/>
      <c r="R50" s="58"/>
      <c r="S50" s="59"/>
      <c r="T50" s="59"/>
      <c r="U50" s="60"/>
    </row>
    <row r="51" spans="1:21" s="12" customFormat="1" ht="12" customHeight="1">
      <c r="A51" s="22" t="s">
        <v>36</v>
      </c>
      <c r="B51" s="58"/>
      <c r="C51" s="59"/>
      <c r="D51" s="59"/>
      <c r="E51" s="60"/>
      <c r="F51" s="58"/>
      <c r="G51" s="59"/>
      <c r="H51" s="59">
        <v>40</v>
      </c>
      <c r="I51" s="59">
        <v>40</v>
      </c>
      <c r="J51" s="59">
        <v>45</v>
      </c>
      <c r="K51" s="59">
        <v>45</v>
      </c>
      <c r="L51" s="59">
        <v>45</v>
      </c>
      <c r="M51" s="59">
        <v>45</v>
      </c>
      <c r="N51" s="59">
        <v>50</v>
      </c>
      <c r="O51" s="59">
        <v>50</v>
      </c>
      <c r="P51" s="59">
        <v>50</v>
      </c>
      <c r="Q51" s="59">
        <v>50</v>
      </c>
      <c r="R51" s="59">
        <v>50</v>
      </c>
      <c r="S51" s="59">
        <v>50</v>
      </c>
      <c r="T51" s="59">
        <v>50</v>
      </c>
      <c r="U51" s="59">
        <v>50</v>
      </c>
    </row>
    <row r="52" spans="1:21" s="12" customFormat="1" ht="12" customHeight="1">
      <c r="A52" s="22" t="s">
        <v>46</v>
      </c>
      <c r="B52" s="58"/>
      <c r="C52" s="59"/>
      <c r="D52" s="59"/>
      <c r="E52" s="60"/>
      <c r="F52" s="58"/>
      <c r="G52" s="59"/>
      <c r="H52" s="59">
        <v>1</v>
      </c>
      <c r="I52" s="65">
        <v>1</v>
      </c>
      <c r="J52" s="66">
        <v>1</v>
      </c>
      <c r="K52" s="59">
        <v>1</v>
      </c>
      <c r="L52" s="59">
        <v>1</v>
      </c>
      <c r="M52" s="65">
        <v>1</v>
      </c>
      <c r="N52" s="66">
        <v>1</v>
      </c>
      <c r="O52" s="59">
        <v>1</v>
      </c>
      <c r="P52" s="59">
        <v>1</v>
      </c>
      <c r="Q52" s="65">
        <v>1</v>
      </c>
      <c r="R52" s="66">
        <v>1</v>
      </c>
      <c r="S52" s="59">
        <v>1</v>
      </c>
      <c r="T52" s="59">
        <v>1</v>
      </c>
      <c r="U52" s="65">
        <v>1</v>
      </c>
    </row>
    <row r="53" spans="1:21" s="12" customFormat="1" ht="12" customHeight="1">
      <c r="A53" s="22" t="s">
        <v>11</v>
      </c>
      <c r="B53" s="58"/>
      <c r="C53" s="59"/>
      <c r="D53" s="59"/>
      <c r="E53" s="60"/>
      <c r="F53" s="58"/>
      <c r="G53" s="59"/>
      <c r="H53" s="59">
        <v>2</v>
      </c>
      <c r="I53" s="60">
        <f aca="true" t="shared" si="14" ref="I53:U58">+$H53/$H$23*I$23</f>
        <v>1.9999999999999998</v>
      </c>
      <c r="J53" s="58">
        <f t="shared" si="14"/>
        <v>2.42</v>
      </c>
      <c r="K53" s="59">
        <f t="shared" si="14"/>
        <v>2.42</v>
      </c>
      <c r="L53" s="59">
        <f t="shared" si="14"/>
        <v>2.42</v>
      </c>
      <c r="M53" s="60">
        <f t="shared" si="14"/>
        <v>2.42</v>
      </c>
      <c r="N53" s="58">
        <f t="shared" si="14"/>
        <v>3.036</v>
      </c>
      <c r="O53" s="59">
        <f t="shared" si="14"/>
        <v>3.036</v>
      </c>
      <c r="P53" s="59">
        <f t="shared" si="14"/>
        <v>3.036</v>
      </c>
      <c r="Q53" s="60">
        <f t="shared" si="14"/>
        <v>3.036</v>
      </c>
      <c r="R53" s="58">
        <f t="shared" si="14"/>
        <v>3.9468</v>
      </c>
      <c r="S53" s="59">
        <f t="shared" si="14"/>
        <v>3.9468</v>
      </c>
      <c r="T53" s="59">
        <f t="shared" si="14"/>
        <v>3.9468</v>
      </c>
      <c r="U53" s="60">
        <f t="shared" si="14"/>
        <v>3.9468</v>
      </c>
    </row>
    <row r="54" spans="1:21" s="12" customFormat="1" ht="12" customHeight="1">
      <c r="A54" s="22" t="s">
        <v>12</v>
      </c>
      <c r="B54" s="58"/>
      <c r="C54" s="59"/>
      <c r="D54" s="59"/>
      <c r="E54" s="60"/>
      <c r="F54" s="58"/>
      <c r="G54" s="59"/>
      <c r="H54" s="59">
        <v>2</v>
      </c>
      <c r="I54" s="60">
        <f t="shared" si="14"/>
        <v>1.9999999999999998</v>
      </c>
      <c r="J54" s="58">
        <f t="shared" si="14"/>
        <v>2.42</v>
      </c>
      <c r="K54" s="59">
        <f t="shared" si="14"/>
        <v>2.42</v>
      </c>
      <c r="L54" s="59">
        <f t="shared" si="14"/>
        <v>2.42</v>
      </c>
      <c r="M54" s="60">
        <f t="shared" si="14"/>
        <v>2.42</v>
      </c>
      <c r="N54" s="58">
        <f t="shared" si="14"/>
        <v>3.036</v>
      </c>
      <c r="O54" s="59">
        <f t="shared" si="14"/>
        <v>3.036</v>
      </c>
      <c r="P54" s="59">
        <f t="shared" si="14"/>
        <v>3.036</v>
      </c>
      <c r="Q54" s="60">
        <f t="shared" si="14"/>
        <v>3.036</v>
      </c>
      <c r="R54" s="58">
        <f t="shared" si="14"/>
        <v>3.9468</v>
      </c>
      <c r="S54" s="59">
        <f t="shared" si="14"/>
        <v>3.9468</v>
      </c>
      <c r="T54" s="59">
        <f t="shared" si="14"/>
        <v>3.9468</v>
      </c>
      <c r="U54" s="60">
        <f t="shared" si="14"/>
        <v>3.9468</v>
      </c>
    </row>
    <row r="55" spans="1:21" s="12" customFormat="1" ht="12" customHeight="1">
      <c r="A55" s="22" t="s">
        <v>15</v>
      </c>
      <c r="B55" s="58"/>
      <c r="C55" s="59"/>
      <c r="D55" s="59"/>
      <c r="E55" s="60"/>
      <c r="F55" s="58"/>
      <c r="G55" s="59"/>
      <c r="H55" s="59">
        <v>2</v>
      </c>
      <c r="I55" s="60">
        <f t="shared" si="14"/>
        <v>1.9999999999999998</v>
      </c>
      <c r="J55" s="58">
        <f t="shared" si="14"/>
        <v>2.42</v>
      </c>
      <c r="K55" s="59">
        <f t="shared" si="14"/>
        <v>2.42</v>
      </c>
      <c r="L55" s="59">
        <f t="shared" si="14"/>
        <v>2.42</v>
      </c>
      <c r="M55" s="60">
        <f t="shared" si="14"/>
        <v>2.42</v>
      </c>
      <c r="N55" s="58">
        <f t="shared" si="14"/>
        <v>3.036</v>
      </c>
      <c r="O55" s="59">
        <f t="shared" si="14"/>
        <v>3.036</v>
      </c>
      <c r="P55" s="59">
        <f t="shared" si="14"/>
        <v>3.036</v>
      </c>
      <c r="Q55" s="60">
        <f t="shared" si="14"/>
        <v>3.036</v>
      </c>
      <c r="R55" s="58">
        <f t="shared" si="14"/>
        <v>3.9468</v>
      </c>
      <c r="S55" s="59">
        <f t="shared" si="14"/>
        <v>3.9468</v>
      </c>
      <c r="T55" s="59">
        <f t="shared" si="14"/>
        <v>3.9468</v>
      </c>
      <c r="U55" s="60">
        <f t="shared" si="14"/>
        <v>3.9468</v>
      </c>
    </row>
    <row r="56" spans="1:21" s="12" customFormat="1" ht="12" customHeight="1">
      <c r="A56" s="22" t="s">
        <v>19</v>
      </c>
      <c r="B56" s="58"/>
      <c r="C56" s="59"/>
      <c r="D56" s="59"/>
      <c r="E56" s="60"/>
      <c r="F56" s="58"/>
      <c r="G56" s="59"/>
      <c r="H56" s="59">
        <v>2</v>
      </c>
      <c r="I56" s="60">
        <f t="shared" si="14"/>
        <v>1.9999999999999998</v>
      </c>
      <c r="J56" s="58">
        <f t="shared" si="14"/>
        <v>2.42</v>
      </c>
      <c r="K56" s="59">
        <f t="shared" si="14"/>
        <v>2.42</v>
      </c>
      <c r="L56" s="59">
        <f t="shared" si="14"/>
        <v>2.42</v>
      </c>
      <c r="M56" s="60">
        <f t="shared" si="14"/>
        <v>2.42</v>
      </c>
      <c r="N56" s="58">
        <f t="shared" si="14"/>
        <v>3.036</v>
      </c>
      <c r="O56" s="59">
        <f t="shared" si="14"/>
        <v>3.036</v>
      </c>
      <c r="P56" s="59">
        <f t="shared" si="14"/>
        <v>3.036</v>
      </c>
      <c r="Q56" s="60">
        <f t="shared" si="14"/>
        <v>3.036</v>
      </c>
      <c r="R56" s="58">
        <f t="shared" si="14"/>
        <v>3.9468</v>
      </c>
      <c r="S56" s="59">
        <f t="shared" si="14"/>
        <v>3.9468</v>
      </c>
      <c r="T56" s="59">
        <f t="shared" si="14"/>
        <v>3.9468</v>
      </c>
      <c r="U56" s="60">
        <f t="shared" si="14"/>
        <v>3.9468</v>
      </c>
    </row>
    <row r="57" spans="1:21" s="12" customFormat="1" ht="12" customHeight="1">
      <c r="A57" s="22" t="s">
        <v>13</v>
      </c>
      <c r="B57" s="58"/>
      <c r="C57" s="59"/>
      <c r="D57" s="59"/>
      <c r="E57" s="60"/>
      <c r="F57" s="58"/>
      <c r="G57" s="59"/>
      <c r="H57" s="59">
        <v>2</v>
      </c>
      <c r="I57" s="60">
        <f t="shared" si="14"/>
        <v>1.9999999999999998</v>
      </c>
      <c r="J57" s="58">
        <f t="shared" si="14"/>
        <v>2.42</v>
      </c>
      <c r="K57" s="59">
        <f t="shared" si="14"/>
        <v>2.42</v>
      </c>
      <c r="L57" s="59">
        <f t="shared" si="14"/>
        <v>2.42</v>
      </c>
      <c r="M57" s="60">
        <f t="shared" si="14"/>
        <v>2.42</v>
      </c>
      <c r="N57" s="58">
        <f t="shared" si="14"/>
        <v>3.036</v>
      </c>
      <c r="O57" s="59">
        <f t="shared" si="14"/>
        <v>3.036</v>
      </c>
      <c r="P57" s="59">
        <f t="shared" si="14"/>
        <v>3.036</v>
      </c>
      <c r="Q57" s="60">
        <f t="shared" si="14"/>
        <v>3.036</v>
      </c>
      <c r="R57" s="58">
        <f t="shared" si="14"/>
        <v>3.9468</v>
      </c>
      <c r="S57" s="59">
        <f t="shared" si="14"/>
        <v>3.9468</v>
      </c>
      <c r="T57" s="59">
        <f t="shared" si="14"/>
        <v>3.9468</v>
      </c>
      <c r="U57" s="60">
        <f t="shared" si="14"/>
        <v>3.9468</v>
      </c>
    </row>
    <row r="58" spans="1:21" s="12" customFormat="1" ht="12" customHeight="1">
      <c r="A58" s="22" t="s">
        <v>26</v>
      </c>
      <c r="B58" s="58"/>
      <c r="C58" s="59"/>
      <c r="D58" s="59"/>
      <c r="E58" s="60"/>
      <c r="F58" s="58"/>
      <c r="G58" s="59"/>
      <c r="H58" s="59">
        <v>2</v>
      </c>
      <c r="I58" s="60">
        <f t="shared" si="14"/>
        <v>1.9999999999999998</v>
      </c>
      <c r="J58" s="58">
        <f t="shared" si="14"/>
        <v>2.42</v>
      </c>
      <c r="K58" s="59">
        <f t="shared" si="14"/>
        <v>2.42</v>
      </c>
      <c r="L58" s="59">
        <f t="shared" si="14"/>
        <v>2.42</v>
      </c>
      <c r="M58" s="60">
        <f t="shared" si="14"/>
        <v>2.42</v>
      </c>
      <c r="N58" s="58">
        <f t="shared" si="14"/>
        <v>3.036</v>
      </c>
      <c r="O58" s="59">
        <f t="shared" si="14"/>
        <v>3.036</v>
      </c>
      <c r="P58" s="59">
        <f t="shared" si="14"/>
        <v>3.036</v>
      </c>
      <c r="Q58" s="60">
        <f t="shared" si="14"/>
        <v>3.036</v>
      </c>
      <c r="R58" s="58">
        <f t="shared" si="14"/>
        <v>3.9468</v>
      </c>
      <c r="S58" s="59">
        <f t="shared" si="14"/>
        <v>3.9468</v>
      </c>
      <c r="T58" s="59">
        <f t="shared" si="14"/>
        <v>3.9468</v>
      </c>
      <c r="U58" s="60">
        <f t="shared" si="14"/>
        <v>3.9468</v>
      </c>
    </row>
    <row r="59" spans="1:21" s="12" customFormat="1" ht="12" customHeight="1">
      <c r="A59" s="21" t="s">
        <v>18</v>
      </c>
      <c r="B59" s="61"/>
      <c r="C59" s="62"/>
      <c r="D59" s="62"/>
      <c r="E59" s="63"/>
      <c r="F59" s="61"/>
      <c r="G59" s="62"/>
      <c r="H59" s="62"/>
      <c r="I59" s="63"/>
      <c r="J59" s="61"/>
      <c r="K59" s="62"/>
      <c r="L59" s="62"/>
      <c r="M59" s="63"/>
      <c r="N59" s="61"/>
      <c r="O59" s="62"/>
      <c r="P59" s="62"/>
      <c r="Q59" s="63"/>
      <c r="R59" s="61"/>
      <c r="S59" s="62"/>
      <c r="T59" s="62"/>
      <c r="U59" s="63"/>
    </row>
    <row r="60" spans="1:21" s="12" customFormat="1" ht="12.75">
      <c r="A60" s="22" t="s">
        <v>14</v>
      </c>
      <c r="B60" s="58"/>
      <c r="C60" s="59"/>
      <c r="D60" s="59"/>
      <c r="E60" s="60"/>
      <c r="F60" s="58"/>
      <c r="G60" s="59"/>
      <c r="H60" s="59">
        <v>15</v>
      </c>
      <c r="I60" s="60">
        <v>15</v>
      </c>
      <c r="J60" s="58">
        <v>15</v>
      </c>
      <c r="K60" s="59">
        <v>15</v>
      </c>
      <c r="L60" s="59">
        <v>15</v>
      </c>
      <c r="M60" s="60">
        <v>15</v>
      </c>
      <c r="N60" s="58">
        <v>15</v>
      </c>
      <c r="O60" s="59">
        <v>15</v>
      </c>
      <c r="P60" s="59">
        <v>15</v>
      </c>
      <c r="Q60" s="60">
        <v>15</v>
      </c>
      <c r="R60" s="58">
        <v>15</v>
      </c>
      <c r="S60" s="59">
        <v>15</v>
      </c>
      <c r="T60" s="59">
        <v>15</v>
      </c>
      <c r="U60" s="60">
        <v>15</v>
      </c>
    </row>
    <row r="61" spans="1:24" s="12" customFormat="1" ht="12.75" hidden="1">
      <c r="A61" s="22" t="s">
        <v>28</v>
      </c>
      <c r="B61" s="61"/>
      <c r="C61" s="62"/>
      <c r="D61" s="62"/>
      <c r="E61" s="63"/>
      <c r="F61" s="61"/>
      <c r="G61" s="62"/>
      <c r="H61" s="62"/>
      <c r="I61" s="63"/>
      <c r="J61" s="61"/>
      <c r="K61" s="62"/>
      <c r="L61" s="62"/>
      <c r="M61" s="63"/>
      <c r="N61" s="61"/>
      <c r="O61" s="62"/>
      <c r="P61" s="62"/>
      <c r="Q61" s="63"/>
      <c r="R61" s="61"/>
      <c r="S61" s="62"/>
      <c r="T61" s="62"/>
      <c r="U61" s="63"/>
      <c r="X61" s="64"/>
    </row>
    <row r="62" spans="1:21" s="12" customFormat="1" ht="12.75" hidden="1">
      <c r="A62" s="22" t="s">
        <v>29</v>
      </c>
      <c r="B62" s="61"/>
      <c r="C62" s="62"/>
      <c r="D62" s="62"/>
      <c r="E62" s="63"/>
      <c r="F62" s="61"/>
      <c r="G62" s="62"/>
      <c r="H62" s="62"/>
      <c r="I62" s="63"/>
      <c r="J62" s="61"/>
      <c r="K62" s="62"/>
      <c r="L62" s="62"/>
      <c r="M62" s="63"/>
      <c r="N62" s="61"/>
      <c r="O62" s="62"/>
      <c r="P62" s="62"/>
      <c r="Q62" s="63"/>
      <c r="R62" s="61"/>
      <c r="S62" s="62"/>
      <c r="T62" s="62"/>
      <c r="U62" s="63"/>
    </row>
    <row r="63" spans="1:21" s="12" customFormat="1" ht="12.75">
      <c r="A63" s="21" t="s">
        <v>30</v>
      </c>
      <c r="B63" s="61"/>
      <c r="C63" s="62"/>
      <c r="D63" s="62"/>
      <c r="E63" s="63"/>
      <c r="F63" s="61"/>
      <c r="G63" s="62"/>
      <c r="H63" s="62"/>
      <c r="I63" s="63"/>
      <c r="J63" s="61"/>
      <c r="K63" s="62"/>
      <c r="L63" s="62"/>
      <c r="M63" s="63"/>
      <c r="N63" s="61"/>
      <c r="O63" s="62"/>
      <c r="P63" s="62"/>
      <c r="Q63" s="63"/>
      <c r="R63" s="61"/>
      <c r="S63" s="62"/>
      <c r="T63" s="62"/>
      <c r="U63" s="63"/>
    </row>
    <row r="64" spans="1:21" s="12" customFormat="1" ht="12.75" hidden="1">
      <c r="A64" s="22" t="s">
        <v>34</v>
      </c>
      <c r="B64" s="61"/>
      <c r="C64" s="62"/>
      <c r="D64" s="62"/>
      <c r="E64" s="63"/>
      <c r="F64" s="61"/>
      <c r="G64" s="62"/>
      <c r="H64" s="62"/>
      <c r="I64" s="63"/>
      <c r="J64" s="61"/>
      <c r="K64" s="62"/>
      <c r="L64" s="62"/>
      <c r="M64" s="63"/>
      <c r="N64" s="61"/>
      <c r="O64" s="62"/>
      <c r="P64" s="62"/>
      <c r="Q64" s="63"/>
      <c r="R64" s="61"/>
      <c r="S64" s="62"/>
      <c r="T64" s="62"/>
      <c r="U64" s="63"/>
    </row>
    <row r="65" spans="1:21" s="12" customFormat="1" ht="12.75">
      <c r="A65" s="89" t="s">
        <v>124</v>
      </c>
      <c r="B65" s="61">
        <f aca="true" t="shared" si="15" ref="B65:G65">+B23*5%</f>
        <v>0</v>
      </c>
      <c r="C65" s="62">
        <f t="shared" si="15"/>
        <v>0</v>
      </c>
      <c r="D65" s="62">
        <f t="shared" si="15"/>
        <v>0</v>
      </c>
      <c r="E65" s="63">
        <f t="shared" si="15"/>
        <v>0</v>
      </c>
      <c r="F65" s="61">
        <f t="shared" si="15"/>
        <v>0</v>
      </c>
      <c r="G65" s="62">
        <f t="shared" si="15"/>
        <v>0</v>
      </c>
      <c r="H65" s="62">
        <f>+H23*3%</f>
        <v>8.8725</v>
      </c>
      <c r="I65" s="62">
        <f aca="true" t="shared" si="16" ref="I65:U65">+I23*3%</f>
        <v>8.8725</v>
      </c>
      <c r="J65" s="62">
        <f t="shared" si="16"/>
        <v>10.735725</v>
      </c>
      <c r="K65" s="62">
        <f t="shared" si="16"/>
        <v>10.735725</v>
      </c>
      <c r="L65" s="62">
        <f t="shared" si="16"/>
        <v>10.735725</v>
      </c>
      <c r="M65" s="62">
        <f t="shared" si="16"/>
        <v>10.735725</v>
      </c>
      <c r="N65" s="62">
        <f t="shared" si="16"/>
        <v>13.468455</v>
      </c>
      <c r="O65" s="62">
        <f t="shared" si="16"/>
        <v>13.468455</v>
      </c>
      <c r="P65" s="62">
        <f t="shared" si="16"/>
        <v>13.468455</v>
      </c>
      <c r="Q65" s="62">
        <f t="shared" si="16"/>
        <v>13.468455</v>
      </c>
      <c r="R65" s="62">
        <f t="shared" si="16"/>
        <v>17.5089915</v>
      </c>
      <c r="S65" s="62">
        <f t="shared" si="16"/>
        <v>17.5089915</v>
      </c>
      <c r="T65" s="62">
        <f t="shared" si="16"/>
        <v>17.5089915</v>
      </c>
      <c r="U65" s="62">
        <f t="shared" si="16"/>
        <v>17.5089915</v>
      </c>
    </row>
    <row r="66" spans="1:21" s="12" customFormat="1" ht="12.75">
      <c r="A66" s="47" t="s">
        <v>32</v>
      </c>
      <c r="B66" s="48">
        <f aca="true" t="shared" si="17" ref="B66:H66">SUM(B31:B33,B37,B43,B46,B49,B51:B58,B60:B62,B64:B65,B40)</f>
        <v>0</v>
      </c>
      <c r="C66" s="49">
        <f t="shared" si="17"/>
        <v>0</v>
      </c>
      <c r="D66" s="49">
        <f t="shared" si="17"/>
        <v>0</v>
      </c>
      <c r="E66" s="50">
        <f t="shared" si="17"/>
        <v>0</v>
      </c>
      <c r="F66" s="48">
        <f t="shared" si="17"/>
        <v>0</v>
      </c>
      <c r="G66" s="49">
        <f t="shared" si="17"/>
        <v>0</v>
      </c>
      <c r="H66" s="49">
        <f t="shared" si="17"/>
        <v>263.0075</v>
      </c>
      <c r="I66" s="50">
        <f aca="true" t="shared" si="18" ref="I66:U66">SUM(I31:I33,I37,I43,I46,I49,I51:I58,I60:I62,I64:I65,I40)</f>
        <v>263.0075</v>
      </c>
      <c r="J66" s="48">
        <f t="shared" si="18"/>
        <v>295.01559999999995</v>
      </c>
      <c r="K66" s="49">
        <f t="shared" si="18"/>
        <v>295.01559999999995</v>
      </c>
      <c r="L66" s="49">
        <f t="shared" si="18"/>
        <v>295.01559999999995</v>
      </c>
      <c r="M66" s="50">
        <f t="shared" si="18"/>
        <v>295.01559999999995</v>
      </c>
      <c r="N66" s="48">
        <f t="shared" si="18"/>
        <v>356.71343</v>
      </c>
      <c r="O66" s="49">
        <f t="shared" si="18"/>
        <v>356.71343</v>
      </c>
      <c r="P66" s="49">
        <f t="shared" si="18"/>
        <v>356.71343</v>
      </c>
      <c r="Q66" s="50">
        <f t="shared" si="18"/>
        <v>356.71343</v>
      </c>
      <c r="R66" s="48">
        <f t="shared" si="18"/>
        <v>414.24560899999994</v>
      </c>
      <c r="S66" s="49">
        <f t="shared" si="18"/>
        <v>414.24560899999994</v>
      </c>
      <c r="T66" s="49">
        <f t="shared" si="18"/>
        <v>414.24560899999994</v>
      </c>
      <c r="U66" s="50">
        <f t="shared" si="18"/>
        <v>414.24560899999994</v>
      </c>
    </row>
    <row r="67" spans="1:23" ht="12.75">
      <c r="A67" s="88" t="s">
        <v>66</v>
      </c>
      <c r="B67" s="236">
        <f>SUM(B66:E66)</f>
        <v>0</v>
      </c>
      <c r="C67" s="237"/>
      <c r="D67" s="237"/>
      <c r="E67" s="238"/>
      <c r="F67" s="236">
        <f>SUM(F66:I66)</f>
        <v>526.015</v>
      </c>
      <c r="G67" s="237"/>
      <c r="H67" s="237"/>
      <c r="I67" s="238"/>
      <c r="J67" s="236">
        <f>SUM(J66:M66)</f>
        <v>1180.0623999999998</v>
      </c>
      <c r="K67" s="237"/>
      <c r="L67" s="237"/>
      <c r="M67" s="238"/>
      <c r="N67" s="236">
        <f>SUM(N66:Q66)</f>
        <v>1426.85372</v>
      </c>
      <c r="O67" s="237"/>
      <c r="P67" s="237"/>
      <c r="Q67" s="238"/>
      <c r="R67" s="236">
        <f>SUM(R66:U66)</f>
        <v>1656.9824359999998</v>
      </c>
      <c r="S67" s="237"/>
      <c r="T67" s="237"/>
      <c r="U67" s="238"/>
      <c r="V67" s="12"/>
      <c r="W67" s="12"/>
    </row>
    <row r="68" spans="2:21" s="12" customFormat="1" ht="12.75">
      <c r="B68" s="33"/>
      <c r="C68" s="17"/>
      <c r="D68" s="17"/>
      <c r="E68" s="34"/>
      <c r="F68" s="33"/>
      <c r="G68" s="17"/>
      <c r="H68" s="17"/>
      <c r="I68" s="34"/>
      <c r="J68" s="33"/>
      <c r="K68" s="17"/>
      <c r="L68" s="17"/>
      <c r="M68" s="34"/>
      <c r="N68" s="33"/>
      <c r="O68" s="17"/>
      <c r="P68" s="17"/>
      <c r="Q68" s="34"/>
      <c r="R68" s="33"/>
      <c r="S68" s="17"/>
      <c r="T68" s="17"/>
      <c r="U68" s="34"/>
    </row>
    <row r="69" spans="1:23" ht="13.5" thickBot="1">
      <c r="A69" s="92" t="s">
        <v>57</v>
      </c>
      <c r="B69" s="236">
        <f>+B25-B67</f>
        <v>0</v>
      </c>
      <c r="C69" s="237"/>
      <c r="D69" s="237"/>
      <c r="E69" s="238"/>
      <c r="F69" s="236">
        <f>+F25-F67</f>
        <v>65.48500000000001</v>
      </c>
      <c r="G69" s="237"/>
      <c r="H69" s="237"/>
      <c r="I69" s="238"/>
      <c r="J69" s="236">
        <f>+J25-J67</f>
        <v>251.36760000000027</v>
      </c>
      <c r="K69" s="237"/>
      <c r="L69" s="237"/>
      <c r="M69" s="238"/>
      <c r="N69" s="236">
        <f>+N25-N67</f>
        <v>368.94028000000003</v>
      </c>
      <c r="O69" s="237"/>
      <c r="P69" s="237"/>
      <c r="Q69" s="238"/>
      <c r="R69" s="236">
        <f>+R25-R67</f>
        <v>677.5497640000003</v>
      </c>
      <c r="S69" s="237"/>
      <c r="T69" s="237"/>
      <c r="U69" s="238"/>
      <c r="V69" s="12"/>
      <c r="W69" s="12"/>
    </row>
    <row r="70" spans="1:24" s="12" customFormat="1" ht="12.75">
      <c r="A70" s="22" t="s">
        <v>59</v>
      </c>
      <c r="B70" s="243">
        <v>0</v>
      </c>
      <c r="C70" s="244"/>
      <c r="D70" s="244"/>
      <c r="E70" s="245"/>
      <c r="F70" s="243">
        <f>-F69*33%</f>
        <v>-21.610050000000005</v>
      </c>
      <c r="G70" s="244"/>
      <c r="H70" s="244"/>
      <c r="I70" s="245"/>
      <c r="J70" s="243">
        <f>-J69*33%</f>
        <v>-82.9513080000001</v>
      </c>
      <c r="K70" s="244"/>
      <c r="L70" s="244"/>
      <c r="M70" s="245"/>
      <c r="N70" s="243">
        <f>-N69*33%</f>
        <v>-121.75029240000002</v>
      </c>
      <c r="O70" s="244"/>
      <c r="P70" s="244"/>
      <c r="Q70" s="245"/>
      <c r="R70" s="243">
        <f>-R69*33%</f>
        <v>-223.59142212000012</v>
      </c>
      <c r="S70" s="244"/>
      <c r="T70" s="244"/>
      <c r="U70" s="245"/>
      <c r="X70" s="64"/>
    </row>
    <row r="71" spans="1:21" s="12" customFormat="1" ht="12.75">
      <c r="A71" s="22" t="s">
        <v>60</v>
      </c>
      <c r="B71" s="243">
        <v>0</v>
      </c>
      <c r="C71" s="244"/>
      <c r="D71" s="244"/>
      <c r="E71" s="245"/>
      <c r="F71" s="243">
        <f>-SUM(F69,F49:I49,F46:I46,F43:I43,F40:I40,F37:I37)*4.75%</f>
        <v>-10.116787500000001</v>
      </c>
      <c r="G71" s="244"/>
      <c r="H71" s="244"/>
      <c r="I71" s="245"/>
      <c r="J71" s="243">
        <f>-SUM(J69,J49:M49,J46:M46,J43:M43,J40:M40,J37:M37)*4.75%</f>
        <v>-25.952461000000014</v>
      </c>
      <c r="K71" s="244"/>
      <c r="L71" s="244"/>
      <c r="M71" s="245"/>
      <c r="N71" s="243">
        <f>-SUM(N69,N49:Q49,N46:Q46,N43:Q43,N40:Q40,N37:Q37)*4.75%</f>
        <v>-34.8621633</v>
      </c>
      <c r="O71" s="244"/>
      <c r="P71" s="244"/>
      <c r="Q71" s="245"/>
      <c r="R71" s="243">
        <f>-SUM(R69,R49:U49,R46:U46,R43:U43,R40:U40,R37:U37)*4.75%</f>
        <v>-49.521113790000015</v>
      </c>
      <c r="S71" s="244"/>
      <c r="T71" s="244"/>
      <c r="U71" s="245"/>
    </row>
    <row r="72" spans="1:23" ht="12.75">
      <c r="A72" s="47" t="s">
        <v>61</v>
      </c>
      <c r="B72" s="236">
        <f>SUM(B69:E71)</f>
        <v>0</v>
      </c>
      <c r="C72" s="237"/>
      <c r="D72" s="237"/>
      <c r="E72" s="238"/>
      <c r="F72" s="236">
        <f>SUM(F69:I71)</f>
        <v>33.75816250000001</v>
      </c>
      <c r="G72" s="237"/>
      <c r="H72" s="237"/>
      <c r="I72" s="238"/>
      <c r="J72" s="236">
        <f>SUM(J69:M71)</f>
        <v>142.46383100000014</v>
      </c>
      <c r="K72" s="237"/>
      <c r="L72" s="237"/>
      <c r="M72" s="238"/>
      <c r="N72" s="236">
        <f>SUM(N69:Q71)</f>
        <v>212.3278243</v>
      </c>
      <c r="O72" s="237"/>
      <c r="P72" s="237"/>
      <c r="Q72" s="238"/>
      <c r="R72" s="236">
        <f>SUM(R69:U71)</f>
        <v>404.4372280900002</v>
      </c>
      <c r="S72" s="237"/>
      <c r="T72" s="237"/>
      <c r="U72" s="238"/>
      <c r="V72" s="12"/>
      <c r="W72" s="12"/>
    </row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</sheetData>
  <mergeCells count="45">
    <mergeCell ref="R69:U69"/>
    <mergeCell ref="B67:E67"/>
    <mergeCell ref="F67:I67"/>
    <mergeCell ref="J67:M67"/>
    <mergeCell ref="N67:Q67"/>
    <mergeCell ref="R67:U67"/>
    <mergeCell ref="B69:E69"/>
    <mergeCell ref="F69:I69"/>
    <mergeCell ref="J69:M69"/>
    <mergeCell ref="N69:Q69"/>
    <mergeCell ref="J28:M28"/>
    <mergeCell ref="N28:Q28"/>
    <mergeCell ref="R28:U28"/>
    <mergeCell ref="B25:E25"/>
    <mergeCell ref="F25:I25"/>
    <mergeCell ref="J25:M25"/>
    <mergeCell ref="N25:Q25"/>
    <mergeCell ref="R3:U3"/>
    <mergeCell ref="N21:Q21"/>
    <mergeCell ref="R21:U21"/>
    <mergeCell ref="R25:U25"/>
    <mergeCell ref="N71:Q71"/>
    <mergeCell ref="B3:E3"/>
    <mergeCell ref="F3:I3"/>
    <mergeCell ref="J3:M3"/>
    <mergeCell ref="B21:E21"/>
    <mergeCell ref="F21:I21"/>
    <mergeCell ref="J21:M21"/>
    <mergeCell ref="N3:Q3"/>
    <mergeCell ref="B28:E28"/>
    <mergeCell ref="F28:I28"/>
    <mergeCell ref="R70:U70"/>
    <mergeCell ref="R71:U71"/>
    <mergeCell ref="B72:E72"/>
    <mergeCell ref="F72:I72"/>
    <mergeCell ref="J72:M72"/>
    <mergeCell ref="N72:Q72"/>
    <mergeCell ref="R72:U72"/>
    <mergeCell ref="B71:E71"/>
    <mergeCell ref="F71:I71"/>
    <mergeCell ref="J71:M71"/>
    <mergeCell ref="B70:E70"/>
    <mergeCell ref="F70:I70"/>
    <mergeCell ref="J70:M70"/>
    <mergeCell ref="N70:Q70"/>
  </mergeCells>
  <printOptions horizontalCentered="1" verticalCentered="1"/>
  <pageMargins left="0.7874015748031497" right="0.7874015748031497" top="0.2362204724409449" bottom="0.2362204724409449" header="0.1968503937007874" footer="0.1574803149606299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workbookViewId="0" topLeftCell="A31">
      <selection activeCell="G54" sqref="G54"/>
    </sheetView>
  </sheetViews>
  <sheetFormatPr defaultColWidth="9.140625" defaultRowHeight="12.75"/>
  <cols>
    <col min="1" max="1" width="51.00390625" style="0" bestFit="1" customWidth="1"/>
    <col min="2" max="3" width="7.00390625" style="0" customWidth="1"/>
    <col min="4" max="4" width="8.57421875" style="0" customWidth="1"/>
    <col min="5" max="5" width="7.57421875" style="0" customWidth="1"/>
    <col min="6" max="7" width="9.28125" style="0" bestFit="1" customWidth="1"/>
    <col min="8" max="21" width="7.7109375" style="0" bestFit="1" customWidth="1"/>
    <col min="24" max="24" width="13.140625" style="0" bestFit="1" customWidth="1"/>
  </cols>
  <sheetData>
    <row r="1" spans="1:23" ht="23.25">
      <c r="A1" s="13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>
      <c r="A3" s="12"/>
      <c r="B3" s="207">
        <v>2007</v>
      </c>
      <c r="C3" s="208"/>
      <c r="D3" s="208"/>
      <c r="E3" s="209"/>
      <c r="F3" s="207">
        <v>2008</v>
      </c>
      <c r="G3" s="208"/>
      <c r="H3" s="208"/>
      <c r="I3" s="209"/>
      <c r="J3" s="207">
        <v>2009</v>
      </c>
      <c r="K3" s="208"/>
      <c r="L3" s="208"/>
      <c r="M3" s="209"/>
      <c r="N3" s="207">
        <v>2010</v>
      </c>
      <c r="O3" s="208"/>
      <c r="P3" s="208"/>
      <c r="Q3" s="209"/>
      <c r="R3" s="207">
        <v>2011</v>
      </c>
      <c r="S3" s="208"/>
      <c r="T3" s="208"/>
      <c r="U3" s="209"/>
      <c r="V3" s="12"/>
      <c r="W3" s="12"/>
    </row>
    <row r="4" spans="1:23" ht="12.75">
      <c r="A4" s="12"/>
      <c r="B4" s="25" t="s">
        <v>3</v>
      </c>
      <c r="C4" s="3" t="s">
        <v>4</v>
      </c>
      <c r="D4" s="3" t="s">
        <v>5</v>
      </c>
      <c r="E4" s="26" t="s">
        <v>6</v>
      </c>
      <c r="F4" s="25" t="s">
        <v>3</v>
      </c>
      <c r="G4" s="3" t="s">
        <v>4</v>
      </c>
      <c r="H4" s="3" t="s">
        <v>5</v>
      </c>
      <c r="I4" s="26" t="s">
        <v>6</v>
      </c>
      <c r="J4" s="25" t="s">
        <v>3</v>
      </c>
      <c r="K4" s="3" t="s">
        <v>4</v>
      </c>
      <c r="L4" s="3" t="s">
        <v>5</v>
      </c>
      <c r="M4" s="26" t="s">
        <v>6</v>
      </c>
      <c r="N4" s="25" t="s">
        <v>3</v>
      </c>
      <c r="O4" s="3" t="s">
        <v>4</v>
      </c>
      <c r="P4" s="3" t="s">
        <v>5</v>
      </c>
      <c r="Q4" s="26" t="s">
        <v>6</v>
      </c>
      <c r="R4" s="25" t="s">
        <v>3</v>
      </c>
      <c r="S4" s="3" t="s">
        <v>4</v>
      </c>
      <c r="T4" s="3" t="s">
        <v>5</v>
      </c>
      <c r="U4" s="26" t="s">
        <v>6</v>
      </c>
      <c r="V4" s="12"/>
      <c r="W4" s="12"/>
    </row>
    <row r="5" spans="1:21" s="12" customFormat="1" ht="15.75">
      <c r="A5" s="143" t="s">
        <v>82</v>
      </c>
      <c r="B5" s="145"/>
      <c r="C5" s="146"/>
      <c r="D5" s="146"/>
      <c r="E5" s="147"/>
      <c r="F5" s="145"/>
      <c r="G5" s="146"/>
      <c r="H5" s="146"/>
      <c r="I5" s="147"/>
      <c r="J5" s="145"/>
      <c r="K5" s="146"/>
      <c r="L5" s="146"/>
      <c r="M5" s="147"/>
      <c r="N5" s="145"/>
      <c r="O5" s="146"/>
      <c r="P5" s="146"/>
      <c r="Q5" s="147"/>
      <c r="R5" s="145"/>
      <c r="S5" s="146"/>
      <c r="T5" s="146"/>
      <c r="U5" s="147"/>
    </row>
    <row r="6" spans="1:23" ht="12.75">
      <c r="A6" s="18" t="s">
        <v>90</v>
      </c>
      <c r="B6" s="52"/>
      <c r="C6" s="53"/>
      <c r="D6" s="53"/>
      <c r="E6" s="53"/>
      <c r="F6" s="53"/>
      <c r="G6" s="53">
        <v>50</v>
      </c>
      <c r="H6" s="53">
        <v>50</v>
      </c>
      <c r="I6" s="53">
        <v>50</v>
      </c>
      <c r="J6" s="53">
        <v>50</v>
      </c>
      <c r="K6" s="53">
        <v>50</v>
      </c>
      <c r="L6" s="53">
        <v>50</v>
      </c>
      <c r="M6" s="53">
        <v>50</v>
      </c>
      <c r="N6" s="53">
        <v>60</v>
      </c>
      <c r="O6" s="53">
        <v>60</v>
      </c>
      <c r="P6" s="53">
        <v>60</v>
      </c>
      <c r="Q6" s="53">
        <v>60</v>
      </c>
      <c r="R6" s="53">
        <v>60</v>
      </c>
      <c r="S6" s="53">
        <v>60</v>
      </c>
      <c r="T6" s="53">
        <v>60</v>
      </c>
      <c r="U6" s="53">
        <v>60</v>
      </c>
      <c r="V6" s="12"/>
      <c r="W6" s="12"/>
    </row>
    <row r="7" spans="1:23" ht="12.75">
      <c r="A7" s="18" t="s">
        <v>50</v>
      </c>
      <c r="B7" s="55"/>
      <c r="C7" s="56"/>
      <c r="D7" s="7">
        <v>15</v>
      </c>
      <c r="E7" s="7">
        <v>15</v>
      </c>
      <c r="F7" s="7">
        <f>+D7+(D7*$F$8)</f>
        <v>15.75</v>
      </c>
      <c r="G7" s="7">
        <f>+E7+(E7*$F$8)</f>
        <v>15.75</v>
      </c>
      <c r="H7" s="7">
        <f>+F7+(F7*$F$8)</f>
        <v>16.5375</v>
      </c>
      <c r="I7" s="7">
        <f>+G7+(G7*$F$8)</f>
        <v>16.5375</v>
      </c>
      <c r="J7" s="7">
        <f aca="true" t="shared" si="0" ref="J7:U7">+H7+(H7*$J$8)</f>
        <v>18.19125</v>
      </c>
      <c r="K7" s="7">
        <f t="shared" si="0"/>
        <v>18.19125</v>
      </c>
      <c r="L7" s="7">
        <f t="shared" si="0"/>
        <v>20.010375</v>
      </c>
      <c r="M7" s="7">
        <f t="shared" si="0"/>
        <v>20.010375</v>
      </c>
      <c r="N7" s="7">
        <f t="shared" si="0"/>
        <v>22.0114125</v>
      </c>
      <c r="O7" s="7">
        <f t="shared" si="0"/>
        <v>22.0114125</v>
      </c>
      <c r="P7" s="7">
        <f t="shared" si="0"/>
        <v>24.212553749999998</v>
      </c>
      <c r="Q7" s="7">
        <f t="shared" si="0"/>
        <v>24.212553749999998</v>
      </c>
      <c r="R7" s="7">
        <f t="shared" si="0"/>
        <v>26.633809125</v>
      </c>
      <c r="S7" s="7">
        <f t="shared" si="0"/>
        <v>26.633809125</v>
      </c>
      <c r="T7" s="7">
        <f t="shared" si="0"/>
        <v>29.2971900375</v>
      </c>
      <c r="U7" s="7">
        <f t="shared" si="0"/>
        <v>29.2971900375</v>
      </c>
      <c r="V7" s="12"/>
      <c r="W7" s="12"/>
    </row>
    <row r="8" spans="1:23" s="4" customFormat="1" ht="12">
      <c r="A8" s="19" t="s">
        <v>37</v>
      </c>
      <c r="B8" s="29"/>
      <c r="C8" s="8"/>
      <c r="D8" s="8"/>
      <c r="E8" s="30"/>
      <c r="F8" s="43">
        <v>0.05</v>
      </c>
      <c r="G8" s="9"/>
      <c r="H8" s="9"/>
      <c r="I8" s="44"/>
      <c r="J8" s="43">
        <v>0.1</v>
      </c>
      <c r="K8" s="9"/>
      <c r="L8" s="9"/>
      <c r="M8" s="44"/>
      <c r="N8" s="43">
        <v>0.15</v>
      </c>
      <c r="O8" s="9"/>
      <c r="P8" s="9"/>
      <c r="Q8" s="44"/>
      <c r="R8" s="43">
        <v>0.2</v>
      </c>
      <c r="S8" s="9"/>
      <c r="T8" s="9"/>
      <c r="U8" s="44"/>
      <c r="V8" s="14"/>
      <c r="W8" s="14"/>
    </row>
    <row r="9" spans="1:23" s="1" customFormat="1" ht="12.75">
      <c r="A9" s="20" t="s">
        <v>7</v>
      </c>
      <c r="B9" s="31"/>
      <c r="C9" s="10"/>
      <c r="D9" s="10">
        <v>91</v>
      </c>
      <c r="E9" s="32">
        <v>91</v>
      </c>
      <c r="F9" s="10">
        <v>91</v>
      </c>
      <c r="G9" s="10">
        <v>91</v>
      </c>
      <c r="H9" s="10">
        <v>91</v>
      </c>
      <c r="I9" s="32">
        <v>91</v>
      </c>
      <c r="J9" s="31">
        <v>91</v>
      </c>
      <c r="K9" s="10">
        <v>91</v>
      </c>
      <c r="L9" s="10">
        <v>91</v>
      </c>
      <c r="M9" s="32">
        <v>91</v>
      </c>
      <c r="N9" s="31">
        <v>91</v>
      </c>
      <c r="O9" s="10">
        <v>91</v>
      </c>
      <c r="P9" s="10">
        <v>91</v>
      </c>
      <c r="Q9" s="32">
        <v>91</v>
      </c>
      <c r="R9" s="31">
        <v>91</v>
      </c>
      <c r="S9" s="10">
        <v>91</v>
      </c>
      <c r="T9" s="10">
        <v>91</v>
      </c>
      <c r="U9" s="32">
        <v>91</v>
      </c>
      <c r="V9" s="15"/>
      <c r="W9" s="15"/>
    </row>
    <row r="10" spans="1:23" ht="12.75">
      <c r="A10" s="18" t="s">
        <v>38</v>
      </c>
      <c r="B10" s="31"/>
      <c r="C10" s="10"/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2"/>
      <c r="W10" s="12"/>
    </row>
    <row r="11" spans="1:23" ht="12.75">
      <c r="A11" s="18" t="s">
        <v>39</v>
      </c>
      <c r="B11" s="31"/>
      <c r="C11" s="10"/>
      <c r="D11" s="6">
        <v>1</v>
      </c>
      <c r="E11" s="6">
        <v>1</v>
      </c>
      <c r="F11" s="28">
        <v>1</v>
      </c>
      <c r="G11" s="28">
        <v>1</v>
      </c>
      <c r="H11" s="28">
        <v>1</v>
      </c>
      <c r="I11" s="28">
        <v>1</v>
      </c>
      <c r="J11" s="27">
        <v>1</v>
      </c>
      <c r="K11" s="6">
        <v>1</v>
      </c>
      <c r="L11" s="6">
        <v>1</v>
      </c>
      <c r="M11" s="28">
        <v>1</v>
      </c>
      <c r="N11" s="27">
        <v>1</v>
      </c>
      <c r="O11" s="6">
        <v>1</v>
      </c>
      <c r="P11" s="6">
        <v>1</v>
      </c>
      <c r="Q11" s="28">
        <v>1</v>
      </c>
      <c r="R11" s="27">
        <v>1</v>
      </c>
      <c r="S11" s="6">
        <v>1</v>
      </c>
      <c r="T11" s="6">
        <v>1</v>
      </c>
      <c r="U11" s="28">
        <v>1</v>
      </c>
      <c r="V11" s="12"/>
      <c r="W11" s="12"/>
    </row>
    <row r="12" spans="1:23" ht="12.75">
      <c r="A12" s="18" t="s">
        <v>90</v>
      </c>
      <c r="B12" s="31"/>
      <c r="C12" s="10"/>
      <c r="D12" s="10">
        <f>+D6*D10*D9*D11</f>
        <v>0</v>
      </c>
      <c r="E12" s="10">
        <f>+E6*E10*E9*E11</f>
        <v>0</v>
      </c>
      <c r="F12" s="10">
        <f>+F6*F10*F9*E11</f>
        <v>0</v>
      </c>
      <c r="G12" s="10">
        <f>+G6*G10*G9*F11</f>
        <v>4550</v>
      </c>
      <c r="H12" s="10">
        <f>+H6*H10*H9*G11</f>
        <v>4550</v>
      </c>
      <c r="I12" s="32">
        <f aca="true" t="shared" si="1" ref="I12:U12">+I6*I10*I9*I11</f>
        <v>4550</v>
      </c>
      <c r="J12" s="31">
        <f t="shared" si="1"/>
        <v>4550</v>
      </c>
      <c r="K12" s="10">
        <f t="shared" si="1"/>
        <v>4550</v>
      </c>
      <c r="L12" s="10">
        <f t="shared" si="1"/>
        <v>4550</v>
      </c>
      <c r="M12" s="32">
        <f t="shared" si="1"/>
        <v>4550</v>
      </c>
      <c r="N12" s="31">
        <f t="shared" si="1"/>
        <v>5460</v>
      </c>
      <c r="O12" s="10">
        <f t="shared" si="1"/>
        <v>5460</v>
      </c>
      <c r="P12" s="10">
        <f t="shared" si="1"/>
        <v>5460</v>
      </c>
      <c r="Q12" s="32">
        <f t="shared" si="1"/>
        <v>5460</v>
      </c>
      <c r="R12" s="31">
        <f t="shared" si="1"/>
        <v>5460</v>
      </c>
      <c r="S12" s="10">
        <f t="shared" si="1"/>
        <v>5460</v>
      </c>
      <c r="T12" s="10">
        <f t="shared" si="1"/>
        <v>5460</v>
      </c>
      <c r="U12" s="32">
        <f t="shared" si="1"/>
        <v>5460</v>
      </c>
      <c r="V12" s="12"/>
      <c r="W12" s="12"/>
    </row>
    <row r="13" spans="1:23" ht="12.75">
      <c r="A13" s="18" t="s">
        <v>44</v>
      </c>
      <c r="B13" s="31"/>
      <c r="C13" s="10"/>
      <c r="D13" s="10">
        <v>2</v>
      </c>
      <c r="E13" s="10">
        <v>2</v>
      </c>
      <c r="F13" s="10">
        <v>2</v>
      </c>
      <c r="G13" s="10">
        <v>2</v>
      </c>
      <c r="H13" s="10">
        <v>2</v>
      </c>
      <c r="I13" s="32">
        <v>2</v>
      </c>
      <c r="J13" s="31">
        <v>2</v>
      </c>
      <c r="K13" s="10">
        <v>2</v>
      </c>
      <c r="L13" s="10">
        <v>2</v>
      </c>
      <c r="M13" s="32">
        <v>2</v>
      </c>
      <c r="N13" s="31">
        <v>2</v>
      </c>
      <c r="O13" s="10">
        <v>2</v>
      </c>
      <c r="P13" s="10">
        <v>2</v>
      </c>
      <c r="Q13" s="32">
        <v>2</v>
      </c>
      <c r="R13" s="31">
        <v>2</v>
      </c>
      <c r="S13" s="10">
        <v>2</v>
      </c>
      <c r="T13" s="10">
        <v>2</v>
      </c>
      <c r="U13" s="32">
        <v>2</v>
      </c>
      <c r="V13" s="12"/>
      <c r="W13" s="12"/>
    </row>
    <row r="14" spans="1:23" ht="12.75">
      <c r="A14" s="18" t="s">
        <v>45</v>
      </c>
      <c r="B14" s="31"/>
      <c r="C14" s="10"/>
      <c r="D14" s="10">
        <f>+D12/D13</f>
        <v>0</v>
      </c>
      <c r="E14" s="10">
        <f>+E12/E13</f>
        <v>0</v>
      </c>
      <c r="F14" s="10">
        <f>+H12/H13</f>
        <v>2275</v>
      </c>
      <c r="G14" s="10">
        <f>+I12/I13</f>
        <v>2275</v>
      </c>
      <c r="H14" s="10">
        <f>+J12/J13</f>
        <v>2275</v>
      </c>
      <c r="I14" s="32">
        <f aca="true" t="shared" si="2" ref="I14:U14">+I12/I13</f>
        <v>2275</v>
      </c>
      <c r="J14" s="31">
        <f t="shared" si="2"/>
        <v>2275</v>
      </c>
      <c r="K14" s="10">
        <f t="shared" si="2"/>
        <v>2275</v>
      </c>
      <c r="L14" s="10">
        <f t="shared" si="2"/>
        <v>2275</v>
      </c>
      <c r="M14" s="32">
        <f t="shared" si="2"/>
        <v>2275</v>
      </c>
      <c r="N14" s="31">
        <f t="shared" si="2"/>
        <v>2730</v>
      </c>
      <c r="O14" s="10">
        <f t="shared" si="2"/>
        <v>2730</v>
      </c>
      <c r="P14" s="10">
        <f t="shared" si="2"/>
        <v>2730</v>
      </c>
      <c r="Q14" s="32">
        <f t="shared" si="2"/>
        <v>2730</v>
      </c>
      <c r="R14" s="31">
        <f t="shared" si="2"/>
        <v>2730</v>
      </c>
      <c r="S14" s="10">
        <f t="shared" si="2"/>
        <v>2730</v>
      </c>
      <c r="T14" s="10">
        <f t="shared" si="2"/>
        <v>2730</v>
      </c>
      <c r="U14" s="32">
        <f t="shared" si="2"/>
        <v>2730</v>
      </c>
      <c r="V14" s="12"/>
      <c r="W14" s="12"/>
    </row>
    <row r="15" spans="1:23" ht="12.75">
      <c r="A15" s="17"/>
      <c r="B15" s="140"/>
      <c r="C15" s="141"/>
      <c r="D15" s="141"/>
      <c r="E15" s="142"/>
      <c r="F15" s="140"/>
      <c r="G15" s="141"/>
      <c r="H15" s="141"/>
      <c r="I15" s="142"/>
      <c r="J15" s="140"/>
      <c r="K15" s="141"/>
      <c r="L15" s="141"/>
      <c r="M15" s="142"/>
      <c r="N15" s="140"/>
      <c r="O15" s="141"/>
      <c r="P15" s="141"/>
      <c r="Q15" s="142"/>
      <c r="R15" s="140"/>
      <c r="S15" s="141"/>
      <c r="T15" s="141"/>
      <c r="U15" s="142"/>
      <c r="V15" s="12"/>
      <c r="W15" s="12"/>
    </row>
    <row r="16" spans="2:23" ht="12.75">
      <c r="B16" s="140"/>
      <c r="C16" s="141"/>
      <c r="D16" s="141"/>
      <c r="E16" s="142"/>
      <c r="F16" s="140"/>
      <c r="G16" s="152"/>
      <c r="H16" s="141"/>
      <c r="I16" s="142"/>
      <c r="J16" s="140"/>
      <c r="K16" s="141"/>
      <c r="L16" s="141"/>
      <c r="M16" s="142"/>
      <c r="N16" s="140"/>
      <c r="O16" s="141"/>
      <c r="P16" s="141"/>
      <c r="Q16" s="142"/>
      <c r="R16" s="140"/>
      <c r="S16" s="141"/>
      <c r="T16" s="141"/>
      <c r="U16" s="142"/>
      <c r="V16" s="12"/>
      <c r="W16" s="12"/>
    </row>
    <row r="17" spans="1:23" ht="24" customHeight="1">
      <c r="A17" s="12"/>
      <c r="B17" s="33"/>
      <c r="C17" s="17"/>
      <c r="D17" s="17"/>
      <c r="E17" s="34"/>
      <c r="F17" s="33"/>
      <c r="G17" s="17"/>
      <c r="H17" s="17"/>
      <c r="I17" s="34"/>
      <c r="J17" s="33"/>
      <c r="K17" s="17"/>
      <c r="L17" s="17"/>
      <c r="M17" s="34"/>
      <c r="N17" s="33"/>
      <c r="O17" s="17"/>
      <c r="P17" s="17"/>
      <c r="Q17" s="34"/>
      <c r="R17" s="33"/>
      <c r="S17" s="17"/>
      <c r="T17" s="17"/>
      <c r="U17" s="34"/>
      <c r="V17" s="12"/>
      <c r="W17" s="12"/>
    </row>
    <row r="18" spans="1:23" ht="15">
      <c r="A18" s="12"/>
      <c r="B18" s="240">
        <v>2007</v>
      </c>
      <c r="C18" s="241"/>
      <c r="D18" s="241"/>
      <c r="E18" s="242"/>
      <c r="F18" s="240">
        <v>2008</v>
      </c>
      <c r="G18" s="241"/>
      <c r="H18" s="241"/>
      <c r="I18" s="242"/>
      <c r="J18" s="240">
        <v>2009</v>
      </c>
      <c r="K18" s="241"/>
      <c r="L18" s="241"/>
      <c r="M18" s="242"/>
      <c r="N18" s="240">
        <v>2010</v>
      </c>
      <c r="O18" s="241"/>
      <c r="P18" s="241"/>
      <c r="Q18" s="242"/>
      <c r="R18" s="240">
        <v>2011</v>
      </c>
      <c r="S18" s="241"/>
      <c r="T18" s="241"/>
      <c r="U18" s="242"/>
      <c r="V18" s="12"/>
      <c r="W18" s="12"/>
    </row>
    <row r="19" spans="1:23" ht="12.75">
      <c r="A19" s="12"/>
      <c r="B19" s="25" t="s">
        <v>3</v>
      </c>
      <c r="C19" s="3" t="s">
        <v>4</v>
      </c>
      <c r="D19" s="3" t="s">
        <v>5</v>
      </c>
      <c r="E19" s="26" t="s">
        <v>6</v>
      </c>
      <c r="F19" s="25" t="s">
        <v>3</v>
      </c>
      <c r="G19" s="3" t="s">
        <v>4</v>
      </c>
      <c r="H19" s="3" t="s">
        <v>5</v>
      </c>
      <c r="I19" s="26" t="s">
        <v>6</v>
      </c>
      <c r="J19" s="25" t="s">
        <v>3</v>
      </c>
      <c r="K19" s="3" t="s">
        <v>4</v>
      </c>
      <c r="L19" s="3" t="s">
        <v>5</v>
      </c>
      <c r="M19" s="26" t="s">
        <v>6</v>
      </c>
      <c r="N19" s="25" t="s">
        <v>3</v>
      </c>
      <c r="O19" s="3" t="s">
        <v>4</v>
      </c>
      <c r="P19" s="3" t="s">
        <v>5</v>
      </c>
      <c r="Q19" s="26" t="s">
        <v>6</v>
      </c>
      <c r="R19" s="25" t="s">
        <v>3</v>
      </c>
      <c r="S19" s="3" t="s">
        <v>4</v>
      </c>
      <c r="T19" s="3" t="s">
        <v>5</v>
      </c>
      <c r="U19" s="26" t="s">
        <v>6</v>
      </c>
      <c r="V19" s="12"/>
      <c r="W19" s="12"/>
    </row>
    <row r="20" spans="1:23" ht="12.75">
      <c r="A20" s="21" t="s">
        <v>84</v>
      </c>
      <c r="B20" s="59">
        <f>+B7*B12</f>
        <v>0</v>
      </c>
      <c r="C20" s="59">
        <f>+C7*C12</f>
        <v>0</v>
      </c>
      <c r="D20" s="59">
        <f>+D7*D12/1000</f>
        <v>0</v>
      </c>
      <c r="E20" s="59">
        <f>+E7*E12/1000</f>
        <v>0</v>
      </c>
      <c r="F20" s="59">
        <f>+F7*F12/1000</f>
        <v>0</v>
      </c>
      <c r="G20" s="59">
        <f>+G7*G12/1000</f>
        <v>71.6625</v>
      </c>
      <c r="H20" s="59">
        <f>+H7*H12/1000</f>
        <v>75.245625</v>
      </c>
      <c r="I20" s="59">
        <f aca="true" t="shared" si="3" ref="I20:U20">+I7*I12/1000</f>
        <v>75.245625</v>
      </c>
      <c r="J20" s="59">
        <f t="shared" si="3"/>
        <v>82.7701875</v>
      </c>
      <c r="K20" s="59">
        <f t="shared" si="3"/>
        <v>82.7701875</v>
      </c>
      <c r="L20" s="59">
        <f t="shared" si="3"/>
        <v>91.04720625</v>
      </c>
      <c r="M20" s="59">
        <f t="shared" si="3"/>
        <v>91.04720625</v>
      </c>
      <c r="N20" s="59">
        <f t="shared" si="3"/>
        <v>120.18231224999998</v>
      </c>
      <c r="O20" s="59">
        <f t="shared" si="3"/>
        <v>120.18231224999998</v>
      </c>
      <c r="P20" s="59">
        <f t="shared" si="3"/>
        <v>132.200543475</v>
      </c>
      <c r="Q20" s="59">
        <f t="shared" si="3"/>
        <v>132.200543475</v>
      </c>
      <c r="R20" s="59">
        <f t="shared" si="3"/>
        <v>145.42059782249999</v>
      </c>
      <c r="S20" s="59">
        <f t="shared" si="3"/>
        <v>145.42059782249999</v>
      </c>
      <c r="T20" s="59">
        <f t="shared" si="3"/>
        <v>159.96265760474998</v>
      </c>
      <c r="U20" s="59">
        <f t="shared" si="3"/>
        <v>159.96265760474998</v>
      </c>
      <c r="V20" s="12"/>
      <c r="W20" s="12"/>
    </row>
    <row r="21" spans="1:23" ht="12.75">
      <c r="A21" s="47" t="s">
        <v>17</v>
      </c>
      <c r="B21" s="246">
        <f>SUM(B20:E20)</f>
        <v>0</v>
      </c>
      <c r="C21" s="247"/>
      <c r="D21" s="247"/>
      <c r="E21" s="248"/>
      <c r="F21" s="246">
        <f>SUM(F20:I20)</f>
        <v>222.15375</v>
      </c>
      <c r="G21" s="247"/>
      <c r="H21" s="247"/>
      <c r="I21" s="248"/>
      <c r="J21" s="246">
        <f>SUM(J20:M20)</f>
        <v>347.6347875</v>
      </c>
      <c r="K21" s="247"/>
      <c r="L21" s="247"/>
      <c r="M21" s="248"/>
      <c r="N21" s="246">
        <f>SUM(N20:Q20)</f>
        <v>504.7657114499999</v>
      </c>
      <c r="O21" s="247"/>
      <c r="P21" s="247"/>
      <c r="Q21" s="248"/>
      <c r="R21" s="246">
        <f>SUM(R20:U20)</f>
        <v>610.7665108545</v>
      </c>
      <c r="S21" s="247"/>
      <c r="T21" s="247"/>
      <c r="U21" s="248"/>
      <c r="V21" s="12"/>
      <c r="W21" s="12"/>
    </row>
    <row r="22" spans="2:21" s="12" customFormat="1" ht="12.75">
      <c r="B22" s="33"/>
      <c r="C22" s="17"/>
      <c r="D22" s="17"/>
      <c r="E22" s="34"/>
      <c r="F22" s="33"/>
      <c r="G22" s="17"/>
      <c r="H22" s="17"/>
      <c r="I22" s="34"/>
      <c r="J22" s="33"/>
      <c r="K22" s="17"/>
      <c r="L22" s="17"/>
      <c r="M22" s="34"/>
      <c r="N22" s="33"/>
      <c r="O22" s="17"/>
      <c r="P22" s="17"/>
      <c r="Q22" s="34"/>
      <c r="R22" s="33"/>
      <c r="S22" s="17"/>
      <c r="T22" s="17"/>
      <c r="U22" s="34"/>
    </row>
    <row r="23" spans="2:21" s="12" customFormat="1" ht="12.75">
      <c r="B23" s="33"/>
      <c r="C23" s="17"/>
      <c r="D23" s="17"/>
      <c r="E23" s="34"/>
      <c r="F23" s="33"/>
      <c r="G23" s="151"/>
      <c r="H23" s="17"/>
      <c r="I23" s="34"/>
      <c r="J23" s="33"/>
      <c r="K23" s="17"/>
      <c r="L23" s="17"/>
      <c r="M23" s="34"/>
      <c r="N23" s="33"/>
      <c r="O23" s="17"/>
      <c r="P23" s="17"/>
      <c r="Q23" s="34"/>
      <c r="R23" s="33"/>
      <c r="S23" s="17"/>
      <c r="T23" s="17"/>
      <c r="U23" s="34"/>
    </row>
    <row r="24" spans="2:21" s="12" customFormat="1" ht="15">
      <c r="B24" s="240">
        <v>2007</v>
      </c>
      <c r="C24" s="241"/>
      <c r="D24" s="241"/>
      <c r="E24" s="242"/>
      <c r="F24" s="240">
        <v>2008</v>
      </c>
      <c r="G24" s="241"/>
      <c r="H24" s="241"/>
      <c r="I24" s="242"/>
      <c r="J24" s="240">
        <v>2009</v>
      </c>
      <c r="K24" s="241"/>
      <c r="L24" s="241"/>
      <c r="M24" s="242"/>
      <c r="N24" s="240">
        <v>2010</v>
      </c>
      <c r="O24" s="241"/>
      <c r="P24" s="241"/>
      <c r="Q24" s="242"/>
      <c r="R24" s="240">
        <v>2011</v>
      </c>
      <c r="S24" s="241"/>
      <c r="T24" s="241"/>
      <c r="U24" s="242"/>
    </row>
    <row r="25" spans="2:21" s="12" customFormat="1" ht="12.75">
      <c r="B25" s="25" t="s">
        <v>3</v>
      </c>
      <c r="C25" s="3" t="s">
        <v>4</v>
      </c>
      <c r="D25" s="3" t="s">
        <v>5</v>
      </c>
      <c r="E25" s="26" t="s">
        <v>6</v>
      </c>
      <c r="F25" s="25" t="s">
        <v>3</v>
      </c>
      <c r="G25" s="3" t="s">
        <v>4</v>
      </c>
      <c r="H25" s="3" t="s">
        <v>5</v>
      </c>
      <c r="I25" s="26" t="s">
        <v>6</v>
      </c>
      <c r="J25" s="25" t="s">
        <v>3</v>
      </c>
      <c r="K25" s="3" t="s">
        <v>4</v>
      </c>
      <c r="L25" s="3" t="s">
        <v>5</v>
      </c>
      <c r="M25" s="26" t="s">
        <v>6</v>
      </c>
      <c r="N25" s="25" t="s">
        <v>3</v>
      </c>
      <c r="O25" s="3" t="s">
        <v>4</v>
      </c>
      <c r="P25" s="3" t="s">
        <v>5</v>
      </c>
      <c r="Q25" s="26" t="s">
        <v>6</v>
      </c>
      <c r="R25" s="25" t="s">
        <v>3</v>
      </c>
      <c r="S25" s="3" t="s">
        <v>4</v>
      </c>
      <c r="T25" s="3" t="s">
        <v>5</v>
      </c>
      <c r="U25" s="26" t="s">
        <v>6</v>
      </c>
    </row>
    <row r="26" spans="1:21" s="12" customFormat="1" ht="12.75">
      <c r="A26" s="21" t="s">
        <v>10</v>
      </c>
      <c r="B26" s="58"/>
      <c r="C26" s="59"/>
      <c r="D26" s="59"/>
      <c r="E26" s="60"/>
      <c r="F26" s="58"/>
      <c r="G26" s="59"/>
      <c r="H26" s="59"/>
      <c r="I26" s="60"/>
      <c r="J26" s="58"/>
      <c r="K26" s="59"/>
      <c r="L26" s="59"/>
      <c r="M26" s="60"/>
      <c r="N26" s="58"/>
      <c r="O26" s="59"/>
      <c r="P26" s="59"/>
      <c r="Q26" s="60"/>
      <c r="R26" s="58"/>
      <c r="S26" s="59"/>
      <c r="T26" s="59"/>
      <c r="U26" s="60"/>
    </row>
    <row r="27" spans="1:21" s="12" customFormat="1" ht="12.75">
      <c r="A27" s="22" t="s">
        <v>91</v>
      </c>
      <c r="B27" s="58">
        <f>+B12*5/1000</f>
        <v>0</v>
      </c>
      <c r="C27" s="59">
        <f>+C12*5/1000</f>
        <v>0</v>
      </c>
      <c r="D27" s="59">
        <f>+D14*2/1000</f>
        <v>0</v>
      </c>
      <c r="E27" s="59">
        <f>+E14*2/1000</f>
        <v>0</v>
      </c>
      <c r="F27" s="59"/>
      <c r="G27" s="59">
        <f>+G14*2/1000</f>
        <v>4.55</v>
      </c>
      <c r="H27" s="59">
        <f>+H14*2/1000</f>
        <v>4.55</v>
      </c>
      <c r="I27" s="59">
        <f aca="true" t="shared" si="4" ref="I27:U27">+I14*2/1000</f>
        <v>4.55</v>
      </c>
      <c r="J27" s="59">
        <f t="shared" si="4"/>
        <v>4.55</v>
      </c>
      <c r="K27" s="59">
        <f t="shared" si="4"/>
        <v>4.55</v>
      </c>
      <c r="L27" s="59">
        <f t="shared" si="4"/>
        <v>4.55</v>
      </c>
      <c r="M27" s="59">
        <f t="shared" si="4"/>
        <v>4.55</v>
      </c>
      <c r="N27" s="59">
        <f t="shared" si="4"/>
        <v>5.46</v>
      </c>
      <c r="O27" s="59">
        <f t="shared" si="4"/>
        <v>5.46</v>
      </c>
      <c r="P27" s="59">
        <f t="shared" si="4"/>
        <v>5.46</v>
      </c>
      <c r="Q27" s="59">
        <f t="shared" si="4"/>
        <v>5.46</v>
      </c>
      <c r="R27" s="59">
        <f t="shared" si="4"/>
        <v>5.46</v>
      </c>
      <c r="S27" s="59">
        <f t="shared" si="4"/>
        <v>5.46</v>
      </c>
      <c r="T27" s="59">
        <f t="shared" si="4"/>
        <v>5.46</v>
      </c>
      <c r="U27" s="59">
        <f t="shared" si="4"/>
        <v>5.46</v>
      </c>
    </row>
    <row r="28" spans="1:21" s="12" customFormat="1" ht="12.75">
      <c r="A28" s="22" t="s">
        <v>96</v>
      </c>
      <c r="B28" s="58">
        <v>0</v>
      </c>
      <c r="C28" s="59">
        <v>0</v>
      </c>
      <c r="D28" s="59">
        <f>+D20*20%</f>
        <v>0</v>
      </c>
      <c r="E28" s="59">
        <f>+E20*20%</f>
        <v>0</v>
      </c>
      <c r="F28" s="59">
        <f>+F20*20%</f>
        <v>0</v>
      </c>
      <c r="G28" s="59">
        <f>+G20*20%</f>
        <v>14.3325</v>
      </c>
      <c r="H28" s="59">
        <f>+H20*20%</f>
        <v>15.049125000000002</v>
      </c>
      <c r="I28" s="59">
        <f aca="true" t="shared" si="5" ref="I28:U28">+I20*20%</f>
        <v>15.049125000000002</v>
      </c>
      <c r="J28" s="59">
        <f t="shared" si="5"/>
        <v>16.554037500000003</v>
      </c>
      <c r="K28" s="59">
        <f t="shared" si="5"/>
        <v>16.554037500000003</v>
      </c>
      <c r="L28" s="59">
        <f t="shared" si="5"/>
        <v>18.20944125</v>
      </c>
      <c r="M28" s="59">
        <f t="shared" si="5"/>
        <v>18.20944125</v>
      </c>
      <c r="N28" s="59">
        <f t="shared" si="5"/>
        <v>24.03646245</v>
      </c>
      <c r="O28" s="59">
        <f t="shared" si="5"/>
        <v>24.03646245</v>
      </c>
      <c r="P28" s="59">
        <f t="shared" si="5"/>
        <v>26.440108695</v>
      </c>
      <c r="Q28" s="59">
        <f t="shared" si="5"/>
        <v>26.440108695</v>
      </c>
      <c r="R28" s="59">
        <f t="shared" si="5"/>
        <v>29.0841195645</v>
      </c>
      <c r="S28" s="59">
        <f t="shared" si="5"/>
        <v>29.0841195645</v>
      </c>
      <c r="T28" s="59">
        <f t="shared" si="5"/>
        <v>31.992531520949996</v>
      </c>
      <c r="U28" s="59">
        <f t="shared" si="5"/>
        <v>31.992531520949996</v>
      </c>
    </row>
    <row r="29" spans="1:21" s="12" customFormat="1" ht="12.75">
      <c r="A29" s="21" t="s">
        <v>9</v>
      </c>
      <c r="B29" s="58"/>
      <c r="C29" s="59"/>
      <c r="D29" s="59"/>
      <c r="E29" s="60"/>
      <c r="F29" s="58"/>
      <c r="G29" s="59"/>
      <c r="H29" s="59"/>
      <c r="I29" s="60"/>
      <c r="J29" s="58"/>
      <c r="K29" s="59"/>
      <c r="L29" s="59"/>
      <c r="M29" s="60"/>
      <c r="N29" s="58"/>
      <c r="O29" s="59"/>
      <c r="P29" s="59"/>
      <c r="Q29" s="60"/>
      <c r="R29" s="58"/>
      <c r="S29" s="59"/>
      <c r="T29" s="59"/>
      <c r="U29" s="60"/>
    </row>
    <row r="30" spans="1:21" s="12" customFormat="1" ht="12.75">
      <c r="A30" s="22" t="s">
        <v>93</v>
      </c>
      <c r="B30" s="58"/>
      <c r="C30" s="59"/>
      <c r="D30" s="59"/>
      <c r="E30" s="60"/>
      <c r="F30" s="58"/>
      <c r="G30" s="59"/>
      <c r="H30" s="59"/>
      <c r="I30" s="60"/>
      <c r="J30" s="58"/>
      <c r="K30" s="59"/>
      <c r="L30" s="59"/>
      <c r="M30" s="60"/>
      <c r="N30" s="58"/>
      <c r="O30" s="59"/>
      <c r="P30" s="59"/>
      <c r="Q30" s="60"/>
      <c r="R30" s="58"/>
      <c r="S30" s="59"/>
      <c r="T30" s="59"/>
      <c r="U30" s="60"/>
    </row>
    <row r="31" spans="1:21" s="15" customFormat="1" ht="12.75">
      <c r="A31" s="23" t="s">
        <v>21</v>
      </c>
      <c r="B31" s="37"/>
      <c r="C31" s="5"/>
      <c r="D31" s="5">
        <v>2</v>
      </c>
      <c r="E31" s="5">
        <v>2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2</v>
      </c>
      <c r="M31" s="5">
        <v>2</v>
      </c>
      <c r="N31" s="5">
        <v>2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5">
        <v>2</v>
      </c>
      <c r="U31" s="5">
        <v>2</v>
      </c>
    </row>
    <row r="32" spans="1:21" s="12" customFormat="1" ht="12.75">
      <c r="A32" s="24" t="s">
        <v>22</v>
      </c>
      <c r="B32" s="58"/>
      <c r="C32" s="59"/>
      <c r="D32" s="59">
        <f>(800+2200)*3/1000*0</f>
        <v>0</v>
      </c>
      <c r="E32" s="59">
        <f>(800+2200)*3/1000*0</f>
        <v>0</v>
      </c>
      <c r="F32" s="59"/>
      <c r="G32" s="59">
        <f>(800+2200)*3/1000</f>
        <v>9</v>
      </c>
      <c r="H32" s="59">
        <f>(800+2200)*3/1000</f>
        <v>9</v>
      </c>
      <c r="I32" s="59">
        <f aca="true" t="shared" si="6" ref="I32:U32">(800+2200)*3/1000</f>
        <v>9</v>
      </c>
      <c r="J32" s="59">
        <f t="shared" si="6"/>
        <v>9</v>
      </c>
      <c r="K32" s="59">
        <f t="shared" si="6"/>
        <v>9</v>
      </c>
      <c r="L32" s="59">
        <f t="shared" si="6"/>
        <v>9</v>
      </c>
      <c r="M32" s="59">
        <f t="shared" si="6"/>
        <v>9</v>
      </c>
      <c r="N32" s="59">
        <f t="shared" si="6"/>
        <v>9</v>
      </c>
      <c r="O32" s="59">
        <f t="shared" si="6"/>
        <v>9</v>
      </c>
      <c r="P32" s="59">
        <f t="shared" si="6"/>
        <v>9</v>
      </c>
      <c r="Q32" s="59">
        <f t="shared" si="6"/>
        <v>9</v>
      </c>
      <c r="R32" s="59">
        <f t="shared" si="6"/>
        <v>9</v>
      </c>
      <c r="S32" s="59">
        <f t="shared" si="6"/>
        <v>9</v>
      </c>
      <c r="T32" s="59">
        <f t="shared" si="6"/>
        <v>9</v>
      </c>
      <c r="U32" s="59">
        <f t="shared" si="6"/>
        <v>9</v>
      </c>
    </row>
    <row r="33" spans="1:21" s="12" customFormat="1" ht="12.75">
      <c r="A33" s="22" t="s">
        <v>48</v>
      </c>
      <c r="B33" s="58"/>
      <c r="C33" s="59"/>
      <c r="D33" s="59"/>
      <c r="E33" s="60"/>
      <c r="F33" s="58"/>
      <c r="G33" s="59"/>
      <c r="H33" s="59"/>
      <c r="I33" s="60"/>
      <c r="J33" s="58"/>
      <c r="K33" s="59"/>
      <c r="L33" s="59"/>
      <c r="M33" s="60"/>
      <c r="N33" s="58"/>
      <c r="O33" s="59"/>
      <c r="P33" s="59"/>
      <c r="Q33" s="60"/>
      <c r="R33" s="58"/>
      <c r="S33" s="59"/>
      <c r="T33" s="59"/>
      <c r="U33" s="60"/>
    </row>
    <row r="34" spans="1:21" s="12" customFormat="1" ht="12.75">
      <c r="A34" s="23" t="s">
        <v>21</v>
      </c>
      <c r="B34" s="37"/>
      <c r="C34" s="5"/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38">
        <v>1</v>
      </c>
      <c r="J34" s="37">
        <v>1</v>
      </c>
      <c r="K34" s="5">
        <v>1</v>
      </c>
      <c r="L34" s="5">
        <v>1</v>
      </c>
      <c r="M34" s="38">
        <v>1</v>
      </c>
      <c r="N34" s="37">
        <v>1</v>
      </c>
      <c r="O34" s="5">
        <v>1</v>
      </c>
      <c r="P34" s="5">
        <v>1</v>
      </c>
      <c r="Q34" s="38">
        <v>1</v>
      </c>
      <c r="R34" s="37">
        <v>1</v>
      </c>
      <c r="S34" s="5">
        <v>1</v>
      </c>
      <c r="T34" s="5">
        <v>1</v>
      </c>
      <c r="U34" s="38">
        <v>1</v>
      </c>
    </row>
    <row r="35" spans="1:21" s="12" customFormat="1" ht="12.75">
      <c r="A35" s="24" t="s">
        <v>22</v>
      </c>
      <c r="B35" s="58"/>
      <c r="C35" s="59"/>
      <c r="D35" s="59">
        <f>30/4*D34*0</f>
        <v>0</v>
      </c>
      <c r="E35" s="59">
        <f>30/4*E34*0</f>
        <v>0</v>
      </c>
      <c r="F35" s="59"/>
      <c r="G35" s="59">
        <f>30/4*G34</f>
        <v>7.5</v>
      </c>
      <c r="H35" s="59">
        <f aca="true" t="shared" si="7" ref="H35:U35">30/4*H34</f>
        <v>7.5</v>
      </c>
      <c r="I35" s="60">
        <f t="shared" si="7"/>
        <v>7.5</v>
      </c>
      <c r="J35" s="58">
        <f t="shared" si="7"/>
        <v>7.5</v>
      </c>
      <c r="K35" s="59">
        <f t="shared" si="7"/>
        <v>7.5</v>
      </c>
      <c r="L35" s="59">
        <f t="shared" si="7"/>
        <v>7.5</v>
      </c>
      <c r="M35" s="60">
        <f t="shared" si="7"/>
        <v>7.5</v>
      </c>
      <c r="N35" s="58">
        <f t="shared" si="7"/>
        <v>7.5</v>
      </c>
      <c r="O35" s="59">
        <f t="shared" si="7"/>
        <v>7.5</v>
      </c>
      <c r="P35" s="59">
        <f t="shared" si="7"/>
        <v>7.5</v>
      </c>
      <c r="Q35" s="60">
        <f t="shared" si="7"/>
        <v>7.5</v>
      </c>
      <c r="R35" s="58">
        <f t="shared" si="7"/>
        <v>7.5</v>
      </c>
      <c r="S35" s="59">
        <f t="shared" si="7"/>
        <v>7.5</v>
      </c>
      <c r="T35" s="59">
        <f t="shared" si="7"/>
        <v>7.5</v>
      </c>
      <c r="U35" s="60">
        <f t="shared" si="7"/>
        <v>7.5</v>
      </c>
    </row>
    <row r="36" spans="1:21" s="12" customFormat="1" ht="12.75">
      <c r="A36" s="22" t="s">
        <v>49</v>
      </c>
      <c r="B36" s="58"/>
      <c r="C36" s="59"/>
      <c r="D36" s="59"/>
      <c r="E36" s="60"/>
      <c r="F36" s="58"/>
      <c r="G36" s="59"/>
      <c r="H36" s="59"/>
      <c r="I36" s="60"/>
      <c r="J36" s="58"/>
      <c r="K36" s="59"/>
      <c r="L36" s="59"/>
      <c r="M36" s="60"/>
      <c r="N36" s="58"/>
      <c r="O36" s="59"/>
      <c r="P36" s="59"/>
      <c r="Q36" s="60"/>
      <c r="R36" s="58"/>
      <c r="S36" s="59"/>
      <c r="T36" s="59"/>
      <c r="U36" s="60"/>
    </row>
    <row r="37" spans="1:21" s="12" customFormat="1" ht="12.75">
      <c r="A37" s="23" t="s">
        <v>21</v>
      </c>
      <c r="B37" s="37"/>
      <c r="C37" s="5"/>
      <c r="D37" s="5">
        <v>2</v>
      </c>
      <c r="E37" s="5">
        <v>2</v>
      </c>
      <c r="F37" s="5">
        <v>2</v>
      </c>
      <c r="G37" s="5">
        <v>2</v>
      </c>
      <c r="H37" s="5">
        <v>2</v>
      </c>
      <c r="I37" s="38">
        <v>2</v>
      </c>
      <c r="J37" s="37">
        <v>2</v>
      </c>
      <c r="K37" s="5">
        <v>2</v>
      </c>
      <c r="L37" s="5">
        <v>2</v>
      </c>
      <c r="M37" s="38">
        <v>2</v>
      </c>
      <c r="N37" s="37">
        <v>3</v>
      </c>
      <c r="O37" s="5">
        <v>3</v>
      </c>
      <c r="P37" s="5">
        <v>3</v>
      </c>
      <c r="Q37" s="38">
        <v>3</v>
      </c>
      <c r="R37" s="37">
        <v>3</v>
      </c>
      <c r="S37" s="5">
        <v>3</v>
      </c>
      <c r="T37" s="5">
        <v>3</v>
      </c>
      <c r="U37" s="38">
        <v>3</v>
      </c>
    </row>
    <row r="38" spans="1:21" s="12" customFormat="1" ht="12.75">
      <c r="A38" s="24" t="s">
        <v>22</v>
      </c>
      <c r="B38" s="58"/>
      <c r="C38" s="59"/>
      <c r="D38" s="59">
        <f>20/4*D37*0</f>
        <v>0</v>
      </c>
      <c r="E38" s="59">
        <f>20/4*E37*0</f>
        <v>0</v>
      </c>
      <c r="F38" s="59"/>
      <c r="G38" s="59">
        <f>20/4*G37</f>
        <v>10</v>
      </c>
      <c r="H38" s="59">
        <f>20/4*H37</f>
        <v>10</v>
      </c>
      <c r="I38" s="60">
        <f aca="true" t="shared" si="8" ref="I38:U38">20/4*I37</f>
        <v>10</v>
      </c>
      <c r="J38" s="58">
        <f t="shared" si="8"/>
        <v>10</v>
      </c>
      <c r="K38" s="59">
        <f t="shared" si="8"/>
        <v>10</v>
      </c>
      <c r="L38" s="59">
        <f t="shared" si="8"/>
        <v>10</v>
      </c>
      <c r="M38" s="60">
        <f t="shared" si="8"/>
        <v>10</v>
      </c>
      <c r="N38" s="58">
        <f t="shared" si="8"/>
        <v>15</v>
      </c>
      <c r="O38" s="59">
        <f t="shared" si="8"/>
        <v>15</v>
      </c>
      <c r="P38" s="59">
        <f t="shared" si="8"/>
        <v>15</v>
      </c>
      <c r="Q38" s="60">
        <f t="shared" si="8"/>
        <v>15</v>
      </c>
      <c r="R38" s="58">
        <f t="shared" si="8"/>
        <v>15</v>
      </c>
      <c r="S38" s="59">
        <f t="shared" si="8"/>
        <v>15</v>
      </c>
      <c r="T38" s="59">
        <f t="shared" si="8"/>
        <v>15</v>
      </c>
      <c r="U38" s="60">
        <f t="shared" si="8"/>
        <v>15</v>
      </c>
    </row>
    <row r="39" spans="1:21" s="12" customFormat="1" ht="12.75">
      <c r="A39" s="21" t="s">
        <v>27</v>
      </c>
      <c r="B39" s="58"/>
      <c r="C39" s="59"/>
      <c r="D39" s="59"/>
      <c r="E39" s="60"/>
      <c r="F39" s="58"/>
      <c r="G39" s="59"/>
      <c r="H39" s="59"/>
      <c r="I39" s="60"/>
      <c r="J39" s="58"/>
      <c r="K39" s="59"/>
      <c r="L39" s="59"/>
      <c r="M39" s="60"/>
      <c r="N39" s="58"/>
      <c r="O39" s="59"/>
      <c r="P39" s="59"/>
      <c r="Q39" s="60"/>
      <c r="R39" s="58"/>
      <c r="S39" s="59"/>
      <c r="T39" s="59"/>
      <c r="U39" s="60"/>
    </row>
    <row r="40" spans="1:21" s="12" customFormat="1" ht="12" customHeight="1">
      <c r="A40" s="22" t="s">
        <v>36</v>
      </c>
      <c r="B40" s="58"/>
      <c r="C40" s="59"/>
      <c r="D40" s="59">
        <v>0</v>
      </c>
      <c r="E40" s="59">
        <v>0</v>
      </c>
      <c r="F40" s="59"/>
      <c r="G40" s="59">
        <v>5</v>
      </c>
      <c r="H40" s="59">
        <v>5</v>
      </c>
      <c r="I40" s="59">
        <v>5</v>
      </c>
      <c r="J40" s="59">
        <v>7</v>
      </c>
      <c r="K40" s="59">
        <v>7</v>
      </c>
      <c r="L40" s="59">
        <v>7</v>
      </c>
      <c r="M40" s="59">
        <v>7</v>
      </c>
      <c r="N40" s="59">
        <v>9</v>
      </c>
      <c r="O40" s="59">
        <v>9</v>
      </c>
      <c r="P40" s="59">
        <v>9</v>
      </c>
      <c r="Q40" s="59">
        <v>9</v>
      </c>
      <c r="R40" s="59">
        <v>12</v>
      </c>
      <c r="S40" s="59">
        <v>12</v>
      </c>
      <c r="T40" s="59">
        <v>12</v>
      </c>
      <c r="U40" s="59">
        <v>12</v>
      </c>
    </row>
    <row r="41" spans="1:21" s="12" customFormat="1" ht="12" customHeight="1">
      <c r="A41" s="22" t="s">
        <v>46</v>
      </c>
      <c r="B41" s="58"/>
      <c r="C41" s="59"/>
      <c r="D41" s="59"/>
      <c r="E41" s="59"/>
      <c r="F41" s="59"/>
      <c r="G41" s="59">
        <v>1</v>
      </c>
      <c r="H41" s="59">
        <v>1</v>
      </c>
      <c r="I41" s="59">
        <v>1</v>
      </c>
      <c r="J41" s="59">
        <v>1</v>
      </c>
      <c r="K41" s="59">
        <v>1</v>
      </c>
      <c r="L41" s="59">
        <v>1</v>
      </c>
      <c r="M41" s="59">
        <v>1</v>
      </c>
      <c r="N41" s="59">
        <v>1</v>
      </c>
      <c r="O41" s="59">
        <v>1</v>
      </c>
      <c r="P41" s="59">
        <v>1</v>
      </c>
      <c r="Q41" s="59">
        <v>1</v>
      </c>
      <c r="R41" s="59">
        <v>1</v>
      </c>
      <c r="S41" s="59">
        <v>1</v>
      </c>
      <c r="T41" s="59">
        <v>1</v>
      </c>
      <c r="U41" s="59">
        <v>1</v>
      </c>
    </row>
    <row r="42" spans="1:21" s="12" customFormat="1" ht="12" customHeight="1">
      <c r="A42" s="22" t="s">
        <v>11</v>
      </c>
      <c r="B42" s="58"/>
      <c r="C42" s="59"/>
      <c r="D42" s="59"/>
      <c r="E42" s="59"/>
      <c r="F42" s="59"/>
      <c r="G42" s="59">
        <v>1</v>
      </c>
      <c r="H42" s="59">
        <v>1</v>
      </c>
      <c r="I42" s="59">
        <v>1.5</v>
      </c>
      <c r="J42" s="59">
        <v>2</v>
      </c>
      <c r="K42" s="59">
        <v>2</v>
      </c>
      <c r="L42" s="59">
        <v>2</v>
      </c>
      <c r="M42" s="59">
        <v>2</v>
      </c>
      <c r="N42" s="59">
        <v>2</v>
      </c>
      <c r="O42" s="59">
        <v>2</v>
      </c>
      <c r="P42" s="59">
        <v>2</v>
      </c>
      <c r="Q42" s="59">
        <v>2</v>
      </c>
      <c r="R42" s="59">
        <v>2</v>
      </c>
      <c r="S42" s="59">
        <v>2</v>
      </c>
      <c r="T42" s="59">
        <v>2</v>
      </c>
      <c r="U42" s="59">
        <v>2</v>
      </c>
    </row>
    <row r="43" spans="1:21" s="12" customFormat="1" ht="12" customHeight="1">
      <c r="A43" s="22" t="s">
        <v>12</v>
      </c>
      <c r="B43" s="58"/>
      <c r="C43" s="59"/>
      <c r="D43" s="59"/>
      <c r="E43" s="59"/>
      <c r="F43" s="59"/>
      <c r="G43" s="59">
        <v>1.5</v>
      </c>
      <c r="H43" s="59">
        <v>1.5</v>
      </c>
      <c r="I43" s="59">
        <v>1.5</v>
      </c>
      <c r="J43" s="59">
        <v>1.5</v>
      </c>
      <c r="K43" s="59">
        <v>1.5</v>
      </c>
      <c r="L43" s="59">
        <v>1.5</v>
      </c>
      <c r="M43" s="59">
        <v>1.5</v>
      </c>
      <c r="N43" s="59">
        <v>1.5</v>
      </c>
      <c r="O43" s="59">
        <v>1.5</v>
      </c>
      <c r="P43" s="59">
        <v>1.5</v>
      </c>
      <c r="Q43" s="59">
        <v>1.5</v>
      </c>
      <c r="R43" s="59">
        <v>1.5</v>
      </c>
      <c r="S43" s="59">
        <v>1.5</v>
      </c>
      <c r="T43" s="59">
        <v>1.5</v>
      </c>
      <c r="U43" s="59">
        <v>1.5</v>
      </c>
    </row>
    <row r="44" spans="1:21" s="12" customFormat="1" ht="12" customHeight="1">
      <c r="A44" s="22" t="s">
        <v>15</v>
      </c>
      <c r="B44" s="58"/>
      <c r="C44" s="59"/>
      <c r="D44" s="59"/>
      <c r="E44" s="59"/>
      <c r="F44" s="59"/>
      <c r="G44" s="59">
        <v>0.5</v>
      </c>
      <c r="H44" s="59">
        <v>0.5</v>
      </c>
      <c r="I44" s="59">
        <v>0.5</v>
      </c>
      <c r="J44" s="59">
        <v>0.5</v>
      </c>
      <c r="K44" s="59">
        <v>0.5</v>
      </c>
      <c r="L44" s="59">
        <v>0.5</v>
      </c>
      <c r="M44" s="59">
        <v>0.5</v>
      </c>
      <c r="N44" s="59">
        <v>0.5</v>
      </c>
      <c r="O44" s="59">
        <v>0.5</v>
      </c>
      <c r="P44" s="59">
        <v>0.5</v>
      </c>
      <c r="Q44" s="59">
        <v>0.5</v>
      </c>
      <c r="R44" s="59">
        <v>0.5</v>
      </c>
      <c r="S44" s="59">
        <v>0.5</v>
      </c>
      <c r="T44" s="59">
        <v>0.5</v>
      </c>
      <c r="U44" s="59">
        <v>0.5</v>
      </c>
    </row>
    <row r="45" spans="1:21" s="12" customFormat="1" ht="12" customHeight="1">
      <c r="A45" s="22" t="s">
        <v>19</v>
      </c>
      <c r="B45" s="58"/>
      <c r="C45" s="59"/>
      <c r="D45" s="59"/>
      <c r="E45" s="59"/>
      <c r="F45" s="59"/>
      <c r="G45" s="59">
        <v>1</v>
      </c>
      <c r="H45" s="59">
        <v>1</v>
      </c>
      <c r="I45" s="59">
        <v>1</v>
      </c>
      <c r="J45" s="59">
        <v>1</v>
      </c>
      <c r="K45" s="59">
        <v>1</v>
      </c>
      <c r="L45" s="59">
        <v>1</v>
      </c>
      <c r="M45" s="59">
        <v>1</v>
      </c>
      <c r="N45" s="59">
        <v>1</v>
      </c>
      <c r="O45" s="59">
        <v>1</v>
      </c>
      <c r="P45" s="59">
        <v>1</v>
      </c>
      <c r="Q45" s="59">
        <v>1</v>
      </c>
      <c r="R45" s="59">
        <v>1</v>
      </c>
      <c r="S45" s="59">
        <v>1</v>
      </c>
      <c r="T45" s="59">
        <v>1</v>
      </c>
      <c r="U45" s="59">
        <v>1</v>
      </c>
    </row>
    <row r="46" spans="1:21" s="12" customFormat="1" ht="12" customHeight="1">
      <c r="A46" s="22" t="s">
        <v>13</v>
      </c>
      <c r="B46" s="58"/>
      <c r="C46" s="59"/>
      <c r="D46" s="59"/>
      <c r="E46" s="59"/>
      <c r="F46" s="59"/>
      <c r="G46" s="59">
        <v>0.5</v>
      </c>
      <c r="H46" s="59">
        <v>0.5</v>
      </c>
      <c r="I46" s="59">
        <v>0.5</v>
      </c>
      <c r="J46" s="59">
        <v>0.5</v>
      </c>
      <c r="K46" s="59">
        <v>0.5</v>
      </c>
      <c r="L46" s="59">
        <v>0.5</v>
      </c>
      <c r="M46" s="59">
        <v>0.5</v>
      </c>
      <c r="N46" s="59">
        <v>0.5</v>
      </c>
      <c r="O46" s="59">
        <v>0.5</v>
      </c>
      <c r="P46" s="59">
        <v>0.5</v>
      </c>
      <c r="Q46" s="59">
        <v>0.5</v>
      </c>
      <c r="R46" s="59">
        <v>0.5</v>
      </c>
      <c r="S46" s="59">
        <v>0.5</v>
      </c>
      <c r="T46" s="59">
        <v>0.5</v>
      </c>
      <c r="U46" s="59">
        <v>0.5</v>
      </c>
    </row>
    <row r="47" spans="1:21" s="12" customFormat="1" ht="12" customHeight="1">
      <c r="A47" s="22" t="s">
        <v>26</v>
      </c>
      <c r="B47" s="58"/>
      <c r="C47" s="59"/>
      <c r="D47" s="59"/>
      <c r="E47" s="59"/>
      <c r="F47" s="59"/>
      <c r="G47" s="59">
        <v>1</v>
      </c>
      <c r="H47" s="59">
        <v>1</v>
      </c>
      <c r="I47" s="59">
        <v>1</v>
      </c>
      <c r="J47" s="59">
        <v>1</v>
      </c>
      <c r="K47" s="59">
        <v>1</v>
      </c>
      <c r="L47" s="59">
        <v>1</v>
      </c>
      <c r="M47" s="59">
        <v>1</v>
      </c>
      <c r="N47" s="59">
        <v>1</v>
      </c>
      <c r="O47" s="59">
        <v>1</v>
      </c>
      <c r="P47" s="59">
        <v>1</v>
      </c>
      <c r="Q47" s="59">
        <v>1</v>
      </c>
      <c r="R47" s="59">
        <v>1</v>
      </c>
      <c r="S47" s="59">
        <v>1</v>
      </c>
      <c r="T47" s="59">
        <v>1</v>
      </c>
      <c r="U47" s="59">
        <v>1</v>
      </c>
    </row>
    <row r="48" spans="1:21" s="12" customFormat="1" ht="12" customHeight="1">
      <c r="A48" s="21" t="s">
        <v>18</v>
      </c>
      <c r="B48" s="61"/>
      <c r="C48" s="62"/>
      <c r="D48" s="62"/>
      <c r="E48" s="63"/>
      <c r="F48" s="61"/>
      <c r="G48" s="62"/>
      <c r="H48" s="62"/>
      <c r="I48" s="63"/>
      <c r="J48" s="61"/>
      <c r="K48" s="62"/>
      <c r="L48" s="62"/>
      <c r="M48" s="63"/>
      <c r="N48" s="61"/>
      <c r="O48" s="62"/>
      <c r="P48" s="62"/>
      <c r="Q48" s="63"/>
      <c r="R48" s="61"/>
      <c r="S48" s="62"/>
      <c r="T48" s="62"/>
      <c r="U48" s="63"/>
    </row>
    <row r="49" spans="1:21" s="12" customFormat="1" ht="12.75">
      <c r="A49" s="22" t="s">
        <v>14</v>
      </c>
      <c r="B49" s="58"/>
      <c r="C49" s="59"/>
      <c r="D49" s="59"/>
      <c r="E49" s="60"/>
      <c r="F49" s="58"/>
      <c r="G49" s="59">
        <v>5</v>
      </c>
      <c r="H49" s="59">
        <v>5</v>
      </c>
      <c r="I49" s="59">
        <v>5</v>
      </c>
      <c r="J49" s="59">
        <v>5</v>
      </c>
      <c r="K49" s="59">
        <v>5</v>
      </c>
      <c r="L49" s="59">
        <v>5</v>
      </c>
      <c r="M49" s="59">
        <v>5</v>
      </c>
      <c r="N49" s="59">
        <v>5</v>
      </c>
      <c r="O49" s="59">
        <v>5</v>
      </c>
      <c r="P49" s="59">
        <v>5</v>
      </c>
      <c r="Q49" s="59">
        <v>5</v>
      </c>
      <c r="R49" s="59">
        <v>5</v>
      </c>
      <c r="S49" s="59">
        <v>5</v>
      </c>
      <c r="T49" s="59">
        <v>5</v>
      </c>
      <c r="U49" s="59">
        <v>5</v>
      </c>
    </row>
    <row r="50" spans="1:24" s="12" customFormat="1" ht="12.75" hidden="1">
      <c r="A50" s="22" t="s">
        <v>28</v>
      </c>
      <c r="B50" s="61"/>
      <c r="C50" s="62"/>
      <c r="D50" s="62"/>
      <c r="E50" s="63"/>
      <c r="F50" s="61"/>
      <c r="G50" s="62"/>
      <c r="H50" s="62"/>
      <c r="I50" s="63"/>
      <c r="J50" s="61"/>
      <c r="K50" s="62"/>
      <c r="L50" s="62"/>
      <c r="M50" s="63"/>
      <c r="N50" s="61"/>
      <c r="O50" s="62"/>
      <c r="P50" s="62"/>
      <c r="Q50" s="63"/>
      <c r="R50" s="61"/>
      <c r="S50" s="62"/>
      <c r="T50" s="62"/>
      <c r="U50" s="63"/>
      <c r="X50" s="64"/>
    </row>
    <row r="51" spans="1:21" s="12" customFormat="1" ht="12.75" hidden="1">
      <c r="A51" s="22" t="s">
        <v>29</v>
      </c>
      <c r="B51" s="61"/>
      <c r="C51" s="62"/>
      <c r="D51" s="62"/>
      <c r="E51" s="63"/>
      <c r="F51" s="61"/>
      <c r="G51" s="62"/>
      <c r="H51" s="62"/>
      <c r="I51" s="63"/>
      <c r="J51" s="61"/>
      <c r="K51" s="62"/>
      <c r="L51" s="62"/>
      <c r="M51" s="63"/>
      <c r="N51" s="61"/>
      <c r="O51" s="62"/>
      <c r="P51" s="62"/>
      <c r="Q51" s="63"/>
      <c r="R51" s="61"/>
      <c r="S51" s="62"/>
      <c r="T51" s="62"/>
      <c r="U51" s="63"/>
    </row>
    <row r="52" spans="1:21" s="12" customFormat="1" ht="12.75">
      <c r="A52" s="21" t="s">
        <v>30</v>
      </c>
      <c r="B52" s="61"/>
      <c r="C52" s="62"/>
      <c r="D52" s="62"/>
      <c r="E52" s="63"/>
      <c r="F52" s="61"/>
      <c r="G52" s="62"/>
      <c r="H52" s="62"/>
      <c r="I52" s="63"/>
      <c r="J52" s="61"/>
      <c r="K52" s="62"/>
      <c r="L52" s="62"/>
      <c r="M52" s="63"/>
      <c r="N52" s="61"/>
      <c r="O52" s="62"/>
      <c r="P52" s="62"/>
      <c r="Q52" s="63"/>
      <c r="R52" s="61"/>
      <c r="S52" s="62"/>
      <c r="T52" s="62"/>
      <c r="U52" s="63"/>
    </row>
    <row r="53" spans="1:21" s="12" customFormat="1" ht="12.75" hidden="1">
      <c r="A53" s="22" t="s">
        <v>34</v>
      </c>
      <c r="B53" s="61"/>
      <c r="C53" s="62"/>
      <c r="D53" s="62"/>
      <c r="E53" s="63"/>
      <c r="F53" s="61"/>
      <c r="G53" s="62"/>
      <c r="H53" s="62"/>
      <c r="I53" s="63"/>
      <c r="J53" s="61"/>
      <c r="K53" s="62"/>
      <c r="L53" s="62"/>
      <c r="M53" s="63"/>
      <c r="N53" s="61"/>
      <c r="O53" s="62"/>
      <c r="P53" s="62"/>
      <c r="Q53" s="63"/>
      <c r="R53" s="61"/>
      <c r="S53" s="62"/>
      <c r="T53" s="62"/>
      <c r="U53" s="63"/>
    </row>
    <row r="54" spans="1:21" s="12" customFormat="1" ht="12.75">
      <c r="A54" s="89" t="s">
        <v>92</v>
      </c>
      <c r="B54" s="62">
        <f>+B21*5%</f>
        <v>0</v>
      </c>
      <c r="C54" s="62">
        <f>+B21*5%</f>
        <v>0</v>
      </c>
      <c r="D54" s="62">
        <f>+B21*5%</f>
        <v>0</v>
      </c>
      <c r="E54" s="62">
        <f>+C21*5%</f>
        <v>0</v>
      </c>
      <c r="F54" s="62"/>
      <c r="G54" s="62">
        <f>++G20*2.5%</f>
        <v>1.7915625</v>
      </c>
      <c r="H54" s="62">
        <f>++H20*2.5%</f>
        <v>1.8811406250000002</v>
      </c>
      <c r="I54" s="62">
        <f>++I20*2.5%</f>
        <v>1.8811406250000002</v>
      </c>
      <c r="J54" s="62">
        <f>++J20*2.5%</f>
        <v>2.0692546875000004</v>
      </c>
      <c r="K54" s="62">
        <f aca="true" t="shared" si="9" ref="K54:U54">++K20*2.5%</f>
        <v>2.0692546875000004</v>
      </c>
      <c r="L54" s="62">
        <f t="shared" si="9"/>
        <v>2.27618015625</v>
      </c>
      <c r="M54" s="62">
        <f t="shared" si="9"/>
        <v>2.27618015625</v>
      </c>
      <c r="N54" s="62">
        <f t="shared" si="9"/>
        <v>3.00455780625</v>
      </c>
      <c r="O54" s="62">
        <f t="shared" si="9"/>
        <v>3.00455780625</v>
      </c>
      <c r="P54" s="62">
        <f t="shared" si="9"/>
        <v>3.305013586875</v>
      </c>
      <c r="Q54" s="62">
        <f t="shared" si="9"/>
        <v>3.305013586875</v>
      </c>
      <c r="R54" s="62">
        <f t="shared" si="9"/>
        <v>3.6355149455625</v>
      </c>
      <c r="S54" s="62">
        <f t="shared" si="9"/>
        <v>3.6355149455625</v>
      </c>
      <c r="T54" s="62">
        <f t="shared" si="9"/>
        <v>3.9990664401187495</v>
      </c>
      <c r="U54" s="62">
        <f t="shared" si="9"/>
        <v>3.9990664401187495</v>
      </c>
    </row>
    <row r="55" spans="1:21" s="12" customFormat="1" ht="12.75">
      <c r="A55" s="47" t="s">
        <v>32</v>
      </c>
      <c r="B55" s="48"/>
      <c r="C55" s="49"/>
      <c r="D55" s="49">
        <f aca="true" t="shared" si="10" ref="D55:I55">+D27+D28+D32+D35+D38+D40+D41+D42+D43+D44+D45+D46+D47+D49+D54</f>
        <v>0</v>
      </c>
      <c r="E55" s="49">
        <f t="shared" si="10"/>
        <v>0</v>
      </c>
      <c r="F55" s="49">
        <f t="shared" si="10"/>
        <v>0</v>
      </c>
      <c r="G55" s="49">
        <f t="shared" si="10"/>
        <v>63.6740625</v>
      </c>
      <c r="H55" s="49">
        <f t="shared" si="10"/>
        <v>64.480265625</v>
      </c>
      <c r="I55" s="49">
        <f t="shared" si="10"/>
        <v>64.980265625</v>
      </c>
      <c r="J55" s="49">
        <f aca="true" t="shared" si="11" ref="J55:U55">+J27+J28+J32+J35+J38+J40+J41+J42+J43+J44+J45+J46+J47+J49+J54</f>
        <v>69.17329218750001</v>
      </c>
      <c r="K55" s="49">
        <f t="shared" si="11"/>
        <v>69.17329218750001</v>
      </c>
      <c r="L55" s="49">
        <f t="shared" si="11"/>
        <v>71.03562140625002</v>
      </c>
      <c r="M55" s="49">
        <f t="shared" si="11"/>
        <v>71.03562140625002</v>
      </c>
      <c r="N55" s="49">
        <f t="shared" si="11"/>
        <v>85.50102025625</v>
      </c>
      <c r="O55" s="49">
        <f t="shared" si="11"/>
        <v>85.50102025625</v>
      </c>
      <c r="P55" s="49">
        <f t="shared" si="11"/>
        <v>88.205122281875</v>
      </c>
      <c r="Q55" s="49">
        <f t="shared" si="11"/>
        <v>88.205122281875</v>
      </c>
      <c r="R55" s="49">
        <f t="shared" si="11"/>
        <v>94.1796345100625</v>
      </c>
      <c r="S55" s="49">
        <f t="shared" si="11"/>
        <v>94.1796345100625</v>
      </c>
      <c r="T55" s="49">
        <f t="shared" si="11"/>
        <v>97.45159796106876</v>
      </c>
      <c r="U55" s="49">
        <f t="shared" si="11"/>
        <v>97.45159796106876</v>
      </c>
    </row>
    <row r="56" spans="1:23" ht="12.75">
      <c r="A56" s="88" t="s">
        <v>66</v>
      </c>
      <c r="B56" s="236">
        <f>SUM(B55:E55)</f>
        <v>0</v>
      </c>
      <c r="C56" s="237"/>
      <c r="D56" s="237"/>
      <c r="E56" s="238"/>
      <c r="F56" s="236">
        <f>SUM(F55:I55)</f>
        <v>193.13459375000002</v>
      </c>
      <c r="G56" s="237"/>
      <c r="H56" s="237"/>
      <c r="I56" s="238"/>
      <c r="J56" s="236">
        <f>SUM(J55:M55)</f>
        <v>280.41782718750005</v>
      </c>
      <c r="K56" s="237"/>
      <c r="L56" s="237"/>
      <c r="M56" s="238"/>
      <c r="N56" s="236">
        <f>SUM(N55:Q55)</f>
        <v>347.41228507625</v>
      </c>
      <c r="O56" s="237"/>
      <c r="P56" s="237"/>
      <c r="Q56" s="238"/>
      <c r="R56" s="236">
        <f>SUM(R55:U55)</f>
        <v>383.26246494226245</v>
      </c>
      <c r="S56" s="237"/>
      <c r="T56" s="237"/>
      <c r="U56" s="238"/>
      <c r="V56" s="12"/>
      <c r="W56" s="12"/>
    </row>
    <row r="57" spans="2:21" s="12" customFormat="1" ht="12.75">
      <c r="B57" s="33"/>
      <c r="C57" s="17"/>
      <c r="D57" s="17"/>
      <c r="E57" s="34"/>
      <c r="F57" s="33"/>
      <c r="G57" s="17"/>
      <c r="H57" s="17"/>
      <c r="I57" s="34"/>
      <c r="J57" s="33"/>
      <c r="K57" s="17"/>
      <c r="L57" s="17"/>
      <c r="M57" s="34"/>
      <c r="N57" s="33"/>
      <c r="O57" s="17"/>
      <c r="P57" s="17"/>
      <c r="Q57" s="34"/>
      <c r="R57" s="33"/>
      <c r="S57" s="17"/>
      <c r="T57" s="17"/>
      <c r="U57" s="34"/>
    </row>
    <row r="58" spans="1:23" ht="13.5" thickBot="1">
      <c r="A58" s="92" t="s">
        <v>57</v>
      </c>
      <c r="B58" s="236">
        <f>+B21-B56</f>
        <v>0</v>
      </c>
      <c r="C58" s="237"/>
      <c r="D58" s="237"/>
      <c r="E58" s="238"/>
      <c r="F58" s="236">
        <f>+F21-F56</f>
        <v>29.01915624999998</v>
      </c>
      <c r="G58" s="237"/>
      <c r="H58" s="237"/>
      <c r="I58" s="238"/>
      <c r="J58" s="236">
        <f>+J21-J56</f>
        <v>67.21696031249996</v>
      </c>
      <c r="K58" s="237"/>
      <c r="L58" s="237"/>
      <c r="M58" s="238"/>
      <c r="N58" s="236">
        <f>+N21-N56</f>
        <v>157.35342637374993</v>
      </c>
      <c r="O58" s="237"/>
      <c r="P58" s="237"/>
      <c r="Q58" s="238"/>
      <c r="R58" s="236">
        <f>+R21-R56</f>
        <v>227.50404591223753</v>
      </c>
      <c r="S58" s="237"/>
      <c r="T58" s="237"/>
      <c r="U58" s="238"/>
      <c r="V58" s="12"/>
      <c r="W58" s="12"/>
    </row>
    <row r="59" spans="1:24" s="12" customFormat="1" ht="12.75">
      <c r="A59" s="22" t="s">
        <v>59</v>
      </c>
      <c r="B59" s="243">
        <f>-B58*33%</f>
        <v>0</v>
      </c>
      <c r="C59" s="244"/>
      <c r="D59" s="244"/>
      <c r="E59" s="245"/>
      <c r="F59" s="243">
        <f>-F58*33%</f>
        <v>-9.576321562499993</v>
      </c>
      <c r="G59" s="244"/>
      <c r="H59" s="244"/>
      <c r="I59" s="245"/>
      <c r="J59" s="243">
        <f>-J58*33%</f>
        <v>-22.18159690312499</v>
      </c>
      <c r="K59" s="244"/>
      <c r="L59" s="244"/>
      <c r="M59" s="245"/>
      <c r="N59" s="243">
        <f>-N58*33%</f>
        <v>-51.92663070333748</v>
      </c>
      <c r="O59" s="244"/>
      <c r="P59" s="244"/>
      <c r="Q59" s="245"/>
      <c r="R59" s="243">
        <f>-R58*33%</f>
        <v>-75.07633515103839</v>
      </c>
      <c r="S59" s="244"/>
      <c r="T59" s="244"/>
      <c r="U59" s="245"/>
      <c r="X59" s="64"/>
    </row>
    <row r="60" spans="1:21" s="12" customFormat="1" ht="12.75">
      <c r="A60" s="22" t="s">
        <v>60</v>
      </c>
      <c r="B60" s="243">
        <f>-B59*33%</f>
        <v>0</v>
      </c>
      <c r="C60" s="244"/>
      <c r="D60" s="244"/>
      <c r="E60" s="245"/>
      <c r="F60" s="243">
        <f>-F59*33%</f>
        <v>3.160186115624998</v>
      </c>
      <c r="G60" s="244"/>
      <c r="H60" s="244"/>
      <c r="I60" s="245"/>
      <c r="J60" s="243">
        <f>-J59*33%</f>
        <v>7.319926978031248</v>
      </c>
      <c r="K60" s="244"/>
      <c r="L60" s="244"/>
      <c r="M60" s="245"/>
      <c r="N60" s="243">
        <f>-N59*33%</f>
        <v>17.135788132101368</v>
      </c>
      <c r="O60" s="244"/>
      <c r="P60" s="244"/>
      <c r="Q60" s="245"/>
      <c r="R60" s="243">
        <f>-R59*33%</f>
        <v>24.77519059984267</v>
      </c>
      <c r="S60" s="244"/>
      <c r="T60" s="244"/>
      <c r="U60" s="245"/>
    </row>
    <row r="61" spans="1:23" ht="12.75">
      <c r="A61" s="47" t="s">
        <v>61</v>
      </c>
      <c r="B61" s="236">
        <f>SUM(B58:E60)</f>
        <v>0</v>
      </c>
      <c r="C61" s="237"/>
      <c r="D61" s="237"/>
      <c r="E61" s="238"/>
      <c r="F61" s="236">
        <f>SUM(F58:I60)</f>
        <v>22.603020803124988</v>
      </c>
      <c r="G61" s="237"/>
      <c r="H61" s="237"/>
      <c r="I61" s="238"/>
      <c r="J61" s="236">
        <f>SUM(J58:M60)</f>
        <v>52.35529038740622</v>
      </c>
      <c r="K61" s="237"/>
      <c r="L61" s="237"/>
      <c r="M61" s="238"/>
      <c r="N61" s="236">
        <f>SUM(N58:Q60)</f>
        <v>122.56258380251381</v>
      </c>
      <c r="O61" s="237"/>
      <c r="P61" s="237"/>
      <c r="Q61" s="238"/>
      <c r="R61" s="236">
        <f>SUM(R58:U60)</f>
        <v>177.2029013610418</v>
      </c>
      <c r="S61" s="237"/>
      <c r="T61" s="237"/>
      <c r="U61" s="238"/>
      <c r="V61" s="12"/>
      <c r="W61" s="12"/>
    </row>
    <row r="62" spans="2:20" s="12" customFormat="1" ht="12.75">
      <c r="B62" s="149">
        <f>+B61*51%</f>
        <v>0</v>
      </c>
      <c r="E62" s="150">
        <v>0.51</v>
      </c>
      <c r="F62" s="149">
        <f>+F61*51%</f>
        <v>11.527540609593744</v>
      </c>
      <c r="I62" s="150">
        <v>0.51</v>
      </c>
      <c r="J62" s="149">
        <f>+J61*51%</f>
        <v>26.701198097577173</v>
      </c>
      <c r="M62" s="150">
        <v>0.51</v>
      </c>
      <c r="N62" s="149">
        <f>+N61*51%</f>
        <v>62.506917739282045</v>
      </c>
      <c r="P62" s="150">
        <v>0.51</v>
      </c>
      <c r="R62" s="149">
        <f>+R61*51%</f>
        <v>90.37347969413132</v>
      </c>
      <c r="T62" s="150">
        <v>0.51</v>
      </c>
    </row>
    <row r="63" spans="2:20" s="12" customFormat="1" ht="12.75">
      <c r="B63" s="149">
        <f>+B61*49%</f>
        <v>0</v>
      </c>
      <c r="E63" s="150">
        <v>0.49</v>
      </c>
      <c r="F63" s="149">
        <f>+F61*49%</f>
        <v>11.075480193531243</v>
      </c>
      <c r="I63" s="150">
        <v>0.49</v>
      </c>
      <c r="J63" s="149">
        <f>+J61*49%</f>
        <v>25.654092289829048</v>
      </c>
      <c r="M63" s="150">
        <v>0.49</v>
      </c>
      <c r="N63" s="149">
        <f>+N61*49%</f>
        <v>60.05566606323177</v>
      </c>
      <c r="P63" s="150">
        <v>0.49</v>
      </c>
      <c r="R63" s="149">
        <f>+R61*49%</f>
        <v>86.82942166691048</v>
      </c>
      <c r="T63" s="150">
        <v>0.49</v>
      </c>
    </row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</sheetData>
  <mergeCells count="45">
    <mergeCell ref="R3:U3"/>
    <mergeCell ref="B18:E18"/>
    <mergeCell ref="F18:I18"/>
    <mergeCell ref="J18:M18"/>
    <mergeCell ref="N18:Q18"/>
    <mergeCell ref="R18:U18"/>
    <mergeCell ref="B3:E3"/>
    <mergeCell ref="F3:I3"/>
    <mergeCell ref="J3:M3"/>
    <mergeCell ref="N3:Q3"/>
    <mergeCell ref="R21:U21"/>
    <mergeCell ref="B24:E24"/>
    <mergeCell ref="F24:I24"/>
    <mergeCell ref="J24:M24"/>
    <mergeCell ref="N24:Q24"/>
    <mergeCell ref="R24:U24"/>
    <mergeCell ref="B21:E21"/>
    <mergeCell ref="F21:I21"/>
    <mergeCell ref="J21:M21"/>
    <mergeCell ref="N21:Q21"/>
    <mergeCell ref="R56:U56"/>
    <mergeCell ref="B58:E58"/>
    <mergeCell ref="F58:I58"/>
    <mergeCell ref="J58:M58"/>
    <mergeCell ref="N58:Q58"/>
    <mergeCell ref="R58:U58"/>
    <mergeCell ref="B56:E56"/>
    <mergeCell ref="F56:I56"/>
    <mergeCell ref="J56:M56"/>
    <mergeCell ref="N56:Q56"/>
    <mergeCell ref="R59:U59"/>
    <mergeCell ref="B60:E60"/>
    <mergeCell ref="F60:I60"/>
    <mergeCell ref="J60:M60"/>
    <mergeCell ref="N60:Q60"/>
    <mergeCell ref="R60:U60"/>
    <mergeCell ref="B59:E59"/>
    <mergeCell ref="F59:I59"/>
    <mergeCell ref="J59:M59"/>
    <mergeCell ref="N59:Q59"/>
    <mergeCell ref="R61:U61"/>
    <mergeCell ref="B61:E61"/>
    <mergeCell ref="F61:I61"/>
    <mergeCell ref="J61:M61"/>
    <mergeCell ref="N61:Q61"/>
  </mergeCells>
  <printOptions horizontalCentered="1" verticalCentered="1"/>
  <pageMargins left="0.23" right="0.23" top="0.28" bottom="0.27" header="0.17" footer="0.17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="75" zoomScaleNormal="75" workbookViewId="0" topLeftCell="A16">
      <selection activeCell="F13" sqref="F13"/>
    </sheetView>
  </sheetViews>
  <sheetFormatPr defaultColWidth="9.140625" defaultRowHeight="12.75"/>
  <cols>
    <col min="1" max="1" width="51.00390625" style="0" bestFit="1" customWidth="1"/>
    <col min="2" max="3" width="7.00390625" style="0" customWidth="1"/>
    <col min="4" max="4" width="8.57421875" style="0" customWidth="1"/>
    <col min="5" max="5" width="7.57421875" style="0" customWidth="1"/>
    <col min="6" max="7" width="9.28125" style="0" bestFit="1" customWidth="1"/>
    <col min="8" max="21" width="7.7109375" style="0" bestFit="1" customWidth="1"/>
    <col min="24" max="24" width="14.00390625" style="0" customWidth="1"/>
  </cols>
  <sheetData>
    <row r="1" spans="1:23" ht="23.25">
      <c r="A1" s="13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>
      <c r="A3" s="12"/>
      <c r="B3" s="207">
        <v>2007</v>
      </c>
      <c r="C3" s="208"/>
      <c r="D3" s="208"/>
      <c r="E3" s="209"/>
      <c r="F3" s="207">
        <v>2008</v>
      </c>
      <c r="G3" s="208"/>
      <c r="H3" s="208"/>
      <c r="I3" s="209"/>
      <c r="J3" s="207">
        <v>2009</v>
      </c>
      <c r="K3" s="208"/>
      <c r="L3" s="208"/>
      <c r="M3" s="209"/>
      <c r="N3" s="207">
        <v>2010</v>
      </c>
      <c r="O3" s="208"/>
      <c r="P3" s="208"/>
      <c r="Q3" s="209"/>
      <c r="R3" s="207">
        <v>2011</v>
      </c>
      <c r="S3" s="208"/>
      <c r="T3" s="208"/>
      <c r="U3" s="209"/>
      <c r="V3" s="12"/>
      <c r="W3" s="12"/>
    </row>
    <row r="4" spans="1:23" ht="12.75">
      <c r="A4" s="12"/>
      <c r="B4" s="25" t="s">
        <v>3</v>
      </c>
      <c r="C4" s="3" t="s">
        <v>4</v>
      </c>
      <c r="D4" s="3" t="s">
        <v>5</v>
      </c>
      <c r="E4" s="26" t="s">
        <v>6</v>
      </c>
      <c r="F4" s="25" t="s">
        <v>3</v>
      </c>
      <c r="G4" s="3" t="s">
        <v>4</v>
      </c>
      <c r="H4" s="3" t="s">
        <v>5</v>
      </c>
      <c r="I4" s="26" t="s">
        <v>6</v>
      </c>
      <c r="J4" s="25" t="s">
        <v>3</v>
      </c>
      <c r="K4" s="3" t="s">
        <v>4</v>
      </c>
      <c r="L4" s="3" t="s">
        <v>5</v>
      </c>
      <c r="M4" s="26" t="s">
        <v>6</v>
      </c>
      <c r="N4" s="25" t="s">
        <v>3</v>
      </c>
      <c r="O4" s="3" t="s">
        <v>4</v>
      </c>
      <c r="P4" s="3" t="s">
        <v>5</v>
      </c>
      <c r="Q4" s="26" t="s">
        <v>6</v>
      </c>
      <c r="R4" s="25" t="s">
        <v>3</v>
      </c>
      <c r="S4" s="3" t="s">
        <v>4</v>
      </c>
      <c r="T4" s="3" t="s">
        <v>5</v>
      </c>
      <c r="U4" s="26" t="s">
        <v>6</v>
      </c>
      <c r="V4" s="12"/>
      <c r="W4" s="12"/>
    </row>
    <row r="5" spans="1:21" s="12" customFormat="1" ht="15.75">
      <c r="A5" s="143" t="s">
        <v>98</v>
      </c>
      <c r="B5" s="145"/>
      <c r="C5" s="146"/>
      <c r="D5" s="146"/>
      <c r="E5" s="147"/>
      <c r="F5" s="145"/>
      <c r="G5" s="146"/>
      <c r="H5" s="146"/>
      <c r="I5" s="147"/>
      <c r="J5" s="145"/>
      <c r="K5" s="146"/>
      <c r="L5" s="146"/>
      <c r="M5" s="147"/>
      <c r="N5" s="145"/>
      <c r="O5" s="146"/>
      <c r="P5" s="146"/>
      <c r="Q5" s="147"/>
      <c r="R5" s="145"/>
      <c r="S5" s="146"/>
      <c r="T5" s="146"/>
      <c r="U5" s="147"/>
    </row>
    <row r="6" spans="1:23" ht="12.75">
      <c r="A6" s="18" t="s">
        <v>99</v>
      </c>
      <c r="B6" s="52"/>
      <c r="C6" s="53"/>
      <c r="D6" s="53">
        <v>28</v>
      </c>
      <c r="E6" s="53">
        <v>28</v>
      </c>
      <c r="F6" s="53">
        <v>28</v>
      </c>
      <c r="G6" s="53">
        <v>28</v>
      </c>
      <c r="H6" s="53">
        <v>28</v>
      </c>
      <c r="I6" s="53">
        <v>28</v>
      </c>
      <c r="J6" s="53">
        <v>28</v>
      </c>
      <c r="K6" s="53">
        <v>28</v>
      </c>
      <c r="L6" s="53">
        <v>28</v>
      </c>
      <c r="M6" s="53">
        <v>28</v>
      </c>
      <c r="N6" s="53">
        <v>60</v>
      </c>
      <c r="O6" s="53">
        <v>60</v>
      </c>
      <c r="P6" s="53">
        <v>60</v>
      </c>
      <c r="Q6" s="53">
        <v>60</v>
      </c>
      <c r="R6" s="53">
        <v>60</v>
      </c>
      <c r="S6" s="53">
        <v>60</v>
      </c>
      <c r="T6" s="53">
        <v>60</v>
      </c>
      <c r="U6" s="53">
        <v>60</v>
      </c>
      <c r="V6" s="12"/>
      <c r="W6" s="12"/>
    </row>
    <row r="7" spans="1:23" ht="12.75">
      <c r="A7" s="18" t="s">
        <v>100</v>
      </c>
      <c r="B7" s="55"/>
      <c r="C7" s="56"/>
      <c r="D7" s="7">
        <f>350</f>
        <v>350</v>
      </c>
      <c r="E7" s="7">
        <f>350</f>
        <v>350</v>
      </c>
      <c r="F7" s="7">
        <f>+D7+(D7*$F$8)</f>
        <v>385</v>
      </c>
      <c r="G7" s="7">
        <f aca="true" t="shared" si="0" ref="G7:U7">+E7+(E7*$F$8)</f>
        <v>385</v>
      </c>
      <c r="H7" s="7">
        <f t="shared" si="0"/>
        <v>423.5</v>
      </c>
      <c r="I7" s="7">
        <f t="shared" si="0"/>
        <v>423.5</v>
      </c>
      <c r="J7" s="7">
        <f t="shared" si="0"/>
        <v>465.85</v>
      </c>
      <c r="K7" s="7">
        <f t="shared" si="0"/>
        <v>465.85</v>
      </c>
      <c r="L7" s="7">
        <f t="shared" si="0"/>
        <v>512.4350000000001</v>
      </c>
      <c r="M7" s="7">
        <f t="shared" si="0"/>
        <v>512.4350000000001</v>
      </c>
      <c r="N7" s="7">
        <f t="shared" si="0"/>
        <v>563.6785000000001</v>
      </c>
      <c r="O7" s="7">
        <f t="shared" si="0"/>
        <v>563.6785000000001</v>
      </c>
      <c r="P7" s="7">
        <f t="shared" si="0"/>
        <v>620.0463500000001</v>
      </c>
      <c r="Q7" s="7">
        <f t="shared" si="0"/>
        <v>620.0463500000001</v>
      </c>
      <c r="R7" s="7">
        <f t="shared" si="0"/>
        <v>682.0509850000001</v>
      </c>
      <c r="S7" s="7">
        <f t="shared" si="0"/>
        <v>682.0509850000001</v>
      </c>
      <c r="T7" s="7">
        <f t="shared" si="0"/>
        <v>750.2560835</v>
      </c>
      <c r="U7" s="7">
        <f t="shared" si="0"/>
        <v>750.2560835</v>
      </c>
      <c r="V7" s="12"/>
      <c r="W7" s="12"/>
    </row>
    <row r="8" spans="1:23" s="4" customFormat="1" ht="12">
      <c r="A8" s="19" t="s">
        <v>37</v>
      </c>
      <c r="B8" s="29"/>
      <c r="C8" s="8"/>
      <c r="D8" s="8"/>
      <c r="E8" s="30"/>
      <c r="F8" s="43">
        <v>0.1</v>
      </c>
      <c r="G8" s="9"/>
      <c r="H8" s="9"/>
      <c r="I8" s="44"/>
      <c r="J8" s="43"/>
      <c r="K8" s="9"/>
      <c r="L8" s="9"/>
      <c r="M8" s="44"/>
      <c r="N8" s="43"/>
      <c r="O8" s="9"/>
      <c r="P8" s="9"/>
      <c r="Q8" s="44"/>
      <c r="R8" s="43"/>
      <c r="S8" s="9"/>
      <c r="T8" s="9"/>
      <c r="U8" s="44"/>
      <c r="V8" s="14"/>
      <c r="W8" s="14"/>
    </row>
    <row r="9" spans="1:23" s="1" customFormat="1" ht="12.75">
      <c r="A9" s="20" t="s">
        <v>102</v>
      </c>
      <c r="B9" s="31"/>
      <c r="C9" s="10"/>
      <c r="D9" s="10">
        <v>3</v>
      </c>
      <c r="E9" s="10">
        <v>3</v>
      </c>
      <c r="F9" s="10">
        <v>3</v>
      </c>
      <c r="G9" s="10">
        <v>3</v>
      </c>
      <c r="H9" s="10">
        <v>3</v>
      </c>
      <c r="I9" s="10">
        <v>3</v>
      </c>
      <c r="J9" s="10">
        <v>3</v>
      </c>
      <c r="K9" s="10">
        <v>3</v>
      </c>
      <c r="L9" s="10">
        <v>3</v>
      </c>
      <c r="M9" s="10">
        <v>3</v>
      </c>
      <c r="N9" s="10">
        <v>3</v>
      </c>
      <c r="O9" s="10">
        <v>3</v>
      </c>
      <c r="P9" s="10">
        <v>3</v>
      </c>
      <c r="Q9" s="10">
        <v>3</v>
      </c>
      <c r="R9" s="10">
        <v>3</v>
      </c>
      <c r="S9" s="10">
        <v>3</v>
      </c>
      <c r="T9" s="10">
        <v>3</v>
      </c>
      <c r="U9" s="10">
        <v>3</v>
      </c>
      <c r="V9" s="15"/>
      <c r="W9" s="15"/>
    </row>
    <row r="10" spans="1:23" ht="12.75">
      <c r="A10" s="18" t="s">
        <v>101</v>
      </c>
      <c r="B10" s="31"/>
      <c r="C10" s="10"/>
      <c r="D10" s="11">
        <v>0.5</v>
      </c>
      <c r="E10" s="11">
        <v>0.5</v>
      </c>
      <c r="F10" s="11">
        <v>0.8</v>
      </c>
      <c r="G10" s="11">
        <v>0.8</v>
      </c>
      <c r="H10" s="11">
        <v>0.8</v>
      </c>
      <c r="I10" s="11">
        <v>0.8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2"/>
      <c r="W10" s="12"/>
    </row>
    <row r="11" spans="1:23" ht="12.75">
      <c r="A11" s="18"/>
      <c r="B11" s="31"/>
      <c r="C11" s="10"/>
      <c r="D11" s="6"/>
      <c r="E11" s="6"/>
      <c r="F11" s="28"/>
      <c r="G11" s="28"/>
      <c r="H11" s="28"/>
      <c r="I11" s="28"/>
      <c r="J11" s="27"/>
      <c r="K11" s="6"/>
      <c r="L11" s="6"/>
      <c r="M11" s="28"/>
      <c r="N11" s="27"/>
      <c r="O11" s="6"/>
      <c r="P11" s="6"/>
      <c r="Q11" s="28"/>
      <c r="R11" s="27"/>
      <c r="S11" s="6"/>
      <c r="T11" s="6"/>
      <c r="U11" s="28"/>
      <c r="V11" s="12"/>
      <c r="W11" s="12"/>
    </row>
    <row r="12" spans="1:23" ht="12.75">
      <c r="A12" s="18" t="s">
        <v>109</v>
      </c>
      <c r="B12" s="31"/>
      <c r="C12" s="10"/>
      <c r="D12" s="10"/>
      <c r="E12" s="10"/>
      <c r="F12" s="10">
        <f>(4*91*10)/1000</f>
        <v>3.64</v>
      </c>
      <c r="G12" s="10">
        <f aca="true" t="shared" si="1" ref="G12:U12">(4*91*10)/1000</f>
        <v>3.64</v>
      </c>
      <c r="H12" s="10">
        <f t="shared" si="1"/>
        <v>3.64</v>
      </c>
      <c r="I12" s="10">
        <f t="shared" si="1"/>
        <v>3.64</v>
      </c>
      <c r="J12" s="10">
        <f t="shared" si="1"/>
        <v>3.64</v>
      </c>
      <c r="K12" s="10">
        <f t="shared" si="1"/>
        <v>3.64</v>
      </c>
      <c r="L12" s="10">
        <f t="shared" si="1"/>
        <v>3.64</v>
      </c>
      <c r="M12" s="10">
        <f t="shared" si="1"/>
        <v>3.64</v>
      </c>
      <c r="N12" s="10">
        <f t="shared" si="1"/>
        <v>3.64</v>
      </c>
      <c r="O12" s="10">
        <f t="shared" si="1"/>
        <v>3.64</v>
      </c>
      <c r="P12" s="10">
        <f t="shared" si="1"/>
        <v>3.64</v>
      </c>
      <c r="Q12" s="10">
        <f t="shared" si="1"/>
        <v>3.64</v>
      </c>
      <c r="R12" s="10">
        <f t="shared" si="1"/>
        <v>3.64</v>
      </c>
      <c r="S12" s="10">
        <f t="shared" si="1"/>
        <v>3.64</v>
      </c>
      <c r="T12" s="10">
        <f t="shared" si="1"/>
        <v>3.64</v>
      </c>
      <c r="U12" s="10">
        <f t="shared" si="1"/>
        <v>3.64</v>
      </c>
      <c r="V12" s="12"/>
      <c r="W12" s="12"/>
    </row>
    <row r="13" spans="1:23" ht="12.75">
      <c r="A13" s="18" t="s">
        <v>110</v>
      </c>
      <c r="B13" s="31"/>
      <c r="C13" s="10"/>
      <c r="D13" s="10"/>
      <c r="E13" s="10"/>
      <c r="F13" s="10">
        <f>((3*40*20*8)/1000)/10</f>
        <v>1.92</v>
      </c>
      <c r="G13" s="10">
        <f aca="true" t="shared" si="2" ref="G13:U13">((3*40*20*8)/1000)/10</f>
        <v>1.92</v>
      </c>
      <c r="H13" s="10">
        <f t="shared" si="2"/>
        <v>1.92</v>
      </c>
      <c r="I13" s="10">
        <f t="shared" si="2"/>
        <v>1.92</v>
      </c>
      <c r="J13" s="10">
        <f t="shared" si="2"/>
        <v>1.92</v>
      </c>
      <c r="K13" s="10">
        <f t="shared" si="2"/>
        <v>1.92</v>
      </c>
      <c r="L13" s="10">
        <f t="shared" si="2"/>
        <v>1.92</v>
      </c>
      <c r="M13" s="10">
        <f t="shared" si="2"/>
        <v>1.92</v>
      </c>
      <c r="N13" s="10">
        <f t="shared" si="2"/>
        <v>1.92</v>
      </c>
      <c r="O13" s="10">
        <f t="shared" si="2"/>
        <v>1.92</v>
      </c>
      <c r="P13" s="10">
        <f t="shared" si="2"/>
        <v>1.92</v>
      </c>
      <c r="Q13" s="10">
        <f t="shared" si="2"/>
        <v>1.92</v>
      </c>
      <c r="R13" s="10">
        <f t="shared" si="2"/>
        <v>1.92</v>
      </c>
      <c r="S13" s="10">
        <f t="shared" si="2"/>
        <v>1.92</v>
      </c>
      <c r="T13" s="10">
        <f t="shared" si="2"/>
        <v>1.92</v>
      </c>
      <c r="U13" s="10">
        <f t="shared" si="2"/>
        <v>1.92</v>
      </c>
      <c r="V13" s="12"/>
      <c r="W13" s="12"/>
    </row>
    <row r="14" spans="1:23" ht="12.75">
      <c r="A14" s="18"/>
      <c r="B14" s="31"/>
      <c r="C14" s="10"/>
      <c r="D14" s="10"/>
      <c r="E14" s="10"/>
      <c r="F14" s="10"/>
      <c r="G14" s="10"/>
      <c r="H14" s="10"/>
      <c r="I14" s="32"/>
      <c r="J14" s="31"/>
      <c r="K14" s="10"/>
      <c r="L14" s="10"/>
      <c r="M14" s="32"/>
      <c r="N14" s="31"/>
      <c r="O14" s="10"/>
      <c r="P14" s="10"/>
      <c r="Q14" s="32"/>
      <c r="R14" s="31"/>
      <c r="S14" s="10"/>
      <c r="T14" s="10"/>
      <c r="U14" s="32"/>
      <c r="V14" s="12"/>
      <c r="W14" s="12"/>
    </row>
    <row r="15" spans="1:23" ht="12.75">
      <c r="A15" s="17"/>
      <c r="B15" s="140"/>
      <c r="C15" s="141"/>
      <c r="D15" s="141"/>
      <c r="E15" s="142"/>
      <c r="F15" s="140"/>
      <c r="G15" s="141"/>
      <c r="H15" s="141"/>
      <c r="I15" s="142"/>
      <c r="J15" s="140"/>
      <c r="K15" s="141"/>
      <c r="L15" s="141"/>
      <c r="M15" s="142"/>
      <c r="N15" s="140"/>
      <c r="O15" s="141"/>
      <c r="P15" s="141"/>
      <c r="Q15" s="142"/>
      <c r="R15" s="140"/>
      <c r="S15" s="141"/>
      <c r="T15" s="141"/>
      <c r="U15" s="142"/>
      <c r="V15" s="12"/>
      <c r="W15" s="12"/>
    </row>
    <row r="16" spans="2:23" ht="12.75">
      <c r="B16" s="140"/>
      <c r="C16" s="141"/>
      <c r="D16" s="141"/>
      <c r="E16" s="142"/>
      <c r="F16" s="140"/>
      <c r="G16" s="152"/>
      <c r="H16" s="141"/>
      <c r="I16" s="142"/>
      <c r="J16" s="140"/>
      <c r="K16" s="141"/>
      <c r="L16" s="141"/>
      <c r="M16" s="142"/>
      <c r="N16" s="140"/>
      <c r="O16" s="141"/>
      <c r="P16" s="141"/>
      <c r="Q16" s="142"/>
      <c r="R16" s="140"/>
      <c r="S16" s="141"/>
      <c r="T16" s="141"/>
      <c r="U16" s="142"/>
      <c r="V16" s="12"/>
      <c r="W16" s="12"/>
    </row>
    <row r="17" spans="1:23" ht="17.25" customHeight="1">
      <c r="A17" s="12"/>
      <c r="B17" s="33"/>
      <c r="C17" s="17"/>
      <c r="D17" s="17"/>
      <c r="E17" s="34"/>
      <c r="F17" s="33"/>
      <c r="G17" s="17"/>
      <c r="H17" s="17"/>
      <c r="I17" s="34"/>
      <c r="J17" s="33"/>
      <c r="K17" s="17"/>
      <c r="L17" s="17"/>
      <c r="M17" s="34"/>
      <c r="N17" s="33"/>
      <c r="O17" s="17"/>
      <c r="P17" s="17"/>
      <c r="Q17" s="34"/>
      <c r="R17" s="33"/>
      <c r="S17" s="17"/>
      <c r="T17" s="17"/>
      <c r="U17" s="34"/>
      <c r="V17" s="12"/>
      <c r="W17" s="12"/>
    </row>
    <row r="18" spans="1:23" ht="15">
      <c r="A18" s="12"/>
      <c r="B18" s="240">
        <v>2007</v>
      </c>
      <c r="C18" s="241"/>
      <c r="D18" s="241"/>
      <c r="E18" s="242"/>
      <c r="F18" s="240">
        <v>2008</v>
      </c>
      <c r="G18" s="241"/>
      <c r="H18" s="241"/>
      <c r="I18" s="242"/>
      <c r="J18" s="240">
        <v>2009</v>
      </c>
      <c r="K18" s="241"/>
      <c r="L18" s="241"/>
      <c r="M18" s="242"/>
      <c r="N18" s="240">
        <v>2010</v>
      </c>
      <c r="O18" s="241"/>
      <c r="P18" s="241"/>
      <c r="Q18" s="242"/>
      <c r="R18" s="240">
        <v>2011</v>
      </c>
      <c r="S18" s="241"/>
      <c r="T18" s="241"/>
      <c r="U18" s="242"/>
      <c r="V18" s="12"/>
      <c r="W18" s="12"/>
    </row>
    <row r="19" spans="1:23" ht="12.75">
      <c r="A19" s="12"/>
      <c r="B19" s="25" t="s">
        <v>3</v>
      </c>
      <c r="C19" s="3" t="s">
        <v>4</v>
      </c>
      <c r="D19" s="3" t="s">
        <v>5</v>
      </c>
      <c r="E19" s="26" t="s">
        <v>6</v>
      </c>
      <c r="F19" s="25" t="s">
        <v>3</v>
      </c>
      <c r="G19" s="3" t="s">
        <v>4</v>
      </c>
      <c r="H19" s="3" t="s">
        <v>5</v>
      </c>
      <c r="I19" s="26" t="s">
        <v>6</v>
      </c>
      <c r="J19" s="25" t="s">
        <v>3</v>
      </c>
      <c r="K19" s="3" t="s">
        <v>4</v>
      </c>
      <c r="L19" s="3" t="s">
        <v>5</v>
      </c>
      <c r="M19" s="26" t="s">
        <v>6</v>
      </c>
      <c r="N19" s="25" t="s">
        <v>3</v>
      </c>
      <c r="O19" s="3" t="s">
        <v>4</v>
      </c>
      <c r="P19" s="3" t="s">
        <v>5</v>
      </c>
      <c r="Q19" s="26" t="s">
        <v>6</v>
      </c>
      <c r="R19" s="25" t="s">
        <v>3</v>
      </c>
      <c r="S19" s="3" t="s">
        <v>4</v>
      </c>
      <c r="T19" s="3" t="s">
        <v>5</v>
      </c>
      <c r="U19" s="26" t="s">
        <v>6</v>
      </c>
      <c r="V19" s="12"/>
      <c r="W19" s="12"/>
    </row>
    <row r="20" spans="1:23" ht="12.75">
      <c r="A20" s="21" t="s">
        <v>106</v>
      </c>
      <c r="B20" s="59">
        <f>+B7*B12</f>
        <v>0</v>
      </c>
      <c r="C20" s="59">
        <f>+C7*C12</f>
        <v>0</v>
      </c>
      <c r="D20" s="59">
        <f>(+D6*D7*D10*D9)/1000+D12+D13</f>
        <v>14.7</v>
      </c>
      <c r="E20" s="59">
        <f>(+E6*E7*E10*E9)/1000+E12+E13</f>
        <v>14.7</v>
      </c>
      <c r="F20" s="59">
        <f>(+F6*F7*F10*F9)/1000+F12+F13</f>
        <v>31.432000000000002</v>
      </c>
      <c r="G20" s="59">
        <f aca="true" t="shared" si="3" ref="G20:U20">(+G6*G7*G10*G9)/1000+G12+G13</f>
        <v>31.432000000000002</v>
      </c>
      <c r="H20" s="59">
        <f t="shared" si="3"/>
        <v>34.0192</v>
      </c>
      <c r="I20" s="59">
        <f t="shared" si="3"/>
        <v>34.0192</v>
      </c>
      <c r="J20" s="59">
        <f t="shared" si="3"/>
        <v>44.6914</v>
      </c>
      <c r="K20" s="59">
        <f t="shared" si="3"/>
        <v>44.6914</v>
      </c>
      <c r="L20" s="59">
        <f t="shared" si="3"/>
        <v>48.60454000000001</v>
      </c>
      <c r="M20" s="59">
        <f t="shared" si="3"/>
        <v>48.60454000000001</v>
      </c>
      <c r="N20" s="59">
        <f t="shared" si="3"/>
        <v>107.02213000000002</v>
      </c>
      <c r="O20" s="59">
        <f t="shared" si="3"/>
        <v>107.02213000000002</v>
      </c>
      <c r="P20" s="59">
        <f t="shared" si="3"/>
        <v>117.16834300000001</v>
      </c>
      <c r="Q20" s="59">
        <f t="shared" si="3"/>
        <v>117.16834300000001</v>
      </c>
      <c r="R20" s="59">
        <f t="shared" si="3"/>
        <v>128.3291773</v>
      </c>
      <c r="S20" s="59">
        <f t="shared" si="3"/>
        <v>128.3291773</v>
      </c>
      <c r="T20" s="59">
        <f t="shared" si="3"/>
        <v>140.60609502999998</v>
      </c>
      <c r="U20" s="59">
        <f t="shared" si="3"/>
        <v>140.60609502999998</v>
      </c>
      <c r="V20" s="12"/>
      <c r="W20" s="12"/>
    </row>
    <row r="21" spans="1:23" ht="12.75">
      <c r="A21" s="47" t="s">
        <v>17</v>
      </c>
      <c r="B21" s="246">
        <f>SUM(B20:E20)</f>
        <v>29.4</v>
      </c>
      <c r="C21" s="247"/>
      <c r="D21" s="247"/>
      <c r="E21" s="248"/>
      <c r="F21" s="246">
        <f>SUM(F20:I20)</f>
        <v>130.9024</v>
      </c>
      <c r="G21" s="247"/>
      <c r="H21" s="247"/>
      <c r="I21" s="248"/>
      <c r="J21" s="246">
        <f>SUM(J20:M20)</f>
        <v>186.59188000000003</v>
      </c>
      <c r="K21" s="247"/>
      <c r="L21" s="247"/>
      <c r="M21" s="248"/>
      <c r="N21" s="246">
        <f>SUM(N20:Q20)</f>
        <v>448.38094600000005</v>
      </c>
      <c r="O21" s="247"/>
      <c r="P21" s="247"/>
      <c r="Q21" s="248"/>
      <c r="R21" s="246">
        <f>SUM(R20:U20)</f>
        <v>537.87054466</v>
      </c>
      <c r="S21" s="247"/>
      <c r="T21" s="247"/>
      <c r="U21" s="248"/>
      <c r="V21" s="12"/>
      <c r="W21" s="12"/>
    </row>
    <row r="22" spans="2:21" s="12" customFormat="1" ht="12.75">
      <c r="B22" s="33"/>
      <c r="C22" s="17"/>
      <c r="D22" s="17"/>
      <c r="E22" s="34"/>
      <c r="F22" s="33"/>
      <c r="G22" s="17"/>
      <c r="H22" s="17"/>
      <c r="I22" s="34"/>
      <c r="J22" s="33"/>
      <c r="K22" s="17"/>
      <c r="L22" s="17"/>
      <c r="M22" s="34"/>
      <c r="N22" s="33"/>
      <c r="O22" s="17"/>
      <c r="P22" s="17"/>
      <c r="Q22" s="34"/>
      <c r="R22" s="33"/>
      <c r="S22" s="17"/>
      <c r="T22" s="17"/>
      <c r="U22" s="34"/>
    </row>
    <row r="23" spans="2:21" s="12" customFormat="1" ht="12.75">
      <c r="B23" s="33"/>
      <c r="C23" s="17"/>
      <c r="D23" s="17"/>
      <c r="E23" s="34"/>
      <c r="F23" s="33"/>
      <c r="G23" s="151"/>
      <c r="H23" s="17"/>
      <c r="I23" s="34"/>
      <c r="J23" s="33"/>
      <c r="K23" s="17"/>
      <c r="L23" s="17"/>
      <c r="M23" s="34"/>
      <c r="N23" s="33"/>
      <c r="O23" s="17"/>
      <c r="P23" s="17"/>
      <c r="Q23" s="34"/>
      <c r="R23" s="33"/>
      <c r="S23" s="17"/>
      <c r="T23" s="17"/>
      <c r="U23" s="34"/>
    </row>
    <row r="24" spans="2:21" s="12" customFormat="1" ht="15">
      <c r="B24" s="240">
        <v>2007</v>
      </c>
      <c r="C24" s="241"/>
      <c r="D24" s="241"/>
      <c r="E24" s="242"/>
      <c r="F24" s="240">
        <v>2008</v>
      </c>
      <c r="G24" s="241"/>
      <c r="H24" s="241"/>
      <c r="I24" s="242"/>
      <c r="J24" s="240">
        <v>2009</v>
      </c>
      <c r="K24" s="241"/>
      <c r="L24" s="241"/>
      <c r="M24" s="242"/>
      <c r="N24" s="240">
        <v>2010</v>
      </c>
      <c r="O24" s="241"/>
      <c r="P24" s="241"/>
      <c r="Q24" s="242"/>
      <c r="R24" s="240">
        <v>2011</v>
      </c>
      <c r="S24" s="241"/>
      <c r="T24" s="241"/>
      <c r="U24" s="242"/>
    </row>
    <row r="25" spans="2:21" s="12" customFormat="1" ht="12.75">
      <c r="B25" s="25" t="s">
        <v>3</v>
      </c>
      <c r="C25" s="3" t="s">
        <v>4</v>
      </c>
      <c r="D25" s="3" t="s">
        <v>5</v>
      </c>
      <c r="E25" s="26" t="s">
        <v>6</v>
      </c>
      <c r="F25" s="25" t="s">
        <v>3</v>
      </c>
      <c r="G25" s="3" t="s">
        <v>4</v>
      </c>
      <c r="H25" s="3" t="s">
        <v>5</v>
      </c>
      <c r="I25" s="26" t="s">
        <v>6</v>
      </c>
      <c r="J25" s="25" t="s">
        <v>3</v>
      </c>
      <c r="K25" s="3" t="s">
        <v>4</v>
      </c>
      <c r="L25" s="3" t="s">
        <v>5</v>
      </c>
      <c r="M25" s="26" t="s">
        <v>6</v>
      </c>
      <c r="N25" s="25" t="s">
        <v>3</v>
      </c>
      <c r="O25" s="3" t="s">
        <v>4</v>
      </c>
      <c r="P25" s="3" t="s">
        <v>5</v>
      </c>
      <c r="Q25" s="26" t="s">
        <v>6</v>
      </c>
      <c r="R25" s="25" t="s">
        <v>3</v>
      </c>
      <c r="S25" s="3" t="s">
        <v>4</v>
      </c>
      <c r="T25" s="3" t="s">
        <v>5</v>
      </c>
      <c r="U25" s="26" t="s">
        <v>6</v>
      </c>
    </row>
    <row r="26" spans="1:21" s="12" customFormat="1" ht="12.75">
      <c r="A26" s="21" t="s">
        <v>10</v>
      </c>
      <c r="B26" s="58"/>
      <c r="C26" s="59"/>
      <c r="D26" s="59"/>
      <c r="E26" s="60"/>
      <c r="F26" s="58"/>
      <c r="G26" s="59"/>
      <c r="H26" s="59"/>
      <c r="I26" s="60"/>
      <c r="J26" s="58"/>
      <c r="K26" s="59"/>
      <c r="L26" s="59"/>
      <c r="M26" s="60"/>
      <c r="N26" s="58"/>
      <c r="O26" s="59"/>
      <c r="P26" s="59"/>
      <c r="Q26" s="60"/>
      <c r="R26" s="58"/>
      <c r="S26" s="59"/>
      <c r="T26" s="59"/>
      <c r="U26" s="60"/>
    </row>
    <row r="27" spans="1:21" s="12" customFormat="1" ht="12.75">
      <c r="A27" s="22" t="s">
        <v>103</v>
      </c>
      <c r="B27" s="58">
        <f>+B12*5/1000</f>
        <v>0</v>
      </c>
      <c r="C27" s="59">
        <f>+C12*5/1000</f>
        <v>0</v>
      </c>
      <c r="D27" s="59">
        <f>(+D6*D9*D10*70)/1000</f>
        <v>2.94</v>
      </c>
      <c r="E27" s="59">
        <f aca="true" t="shared" si="4" ref="E27:U27">(+E6*E9*E10*70)/1000</f>
        <v>2.94</v>
      </c>
      <c r="F27" s="59">
        <f t="shared" si="4"/>
        <v>4.704</v>
      </c>
      <c r="G27" s="59">
        <f t="shared" si="4"/>
        <v>4.704</v>
      </c>
      <c r="H27" s="59">
        <f t="shared" si="4"/>
        <v>4.704</v>
      </c>
      <c r="I27" s="59">
        <f t="shared" si="4"/>
        <v>4.704</v>
      </c>
      <c r="J27" s="59">
        <f t="shared" si="4"/>
        <v>5.88</v>
      </c>
      <c r="K27" s="59">
        <f t="shared" si="4"/>
        <v>5.88</v>
      </c>
      <c r="L27" s="59">
        <f t="shared" si="4"/>
        <v>5.88</v>
      </c>
      <c r="M27" s="59">
        <f t="shared" si="4"/>
        <v>5.88</v>
      </c>
      <c r="N27" s="59">
        <f t="shared" si="4"/>
        <v>12.6</v>
      </c>
      <c r="O27" s="59">
        <f t="shared" si="4"/>
        <v>12.6</v>
      </c>
      <c r="P27" s="59">
        <f t="shared" si="4"/>
        <v>12.6</v>
      </c>
      <c r="Q27" s="59">
        <f t="shared" si="4"/>
        <v>12.6</v>
      </c>
      <c r="R27" s="59">
        <f t="shared" si="4"/>
        <v>12.6</v>
      </c>
      <c r="S27" s="59">
        <f t="shared" si="4"/>
        <v>12.6</v>
      </c>
      <c r="T27" s="59">
        <f t="shared" si="4"/>
        <v>12.6</v>
      </c>
      <c r="U27" s="59">
        <f t="shared" si="4"/>
        <v>12.6</v>
      </c>
    </row>
    <row r="28" spans="1:21" s="12" customFormat="1" ht="12.75">
      <c r="A28" s="22" t="s">
        <v>104</v>
      </c>
      <c r="B28" s="58">
        <v>0</v>
      </c>
      <c r="C28" s="59">
        <v>0</v>
      </c>
      <c r="D28" s="59">
        <f>(+D6*D9*D10*50)/1000</f>
        <v>2.1</v>
      </c>
      <c r="E28" s="59">
        <f aca="true" t="shared" si="5" ref="E28:U28">(+E6*E9*E10*50)/1000</f>
        <v>2.1</v>
      </c>
      <c r="F28" s="59">
        <f t="shared" si="5"/>
        <v>3.36</v>
      </c>
      <c r="G28" s="59">
        <f t="shared" si="5"/>
        <v>3.36</v>
      </c>
      <c r="H28" s="59">
        <f t="shared" si="5"/>
        <v>3.36</v>
      </c>
      <c r="I28" s="59">
        <f t="shared" si="5"/>
        <v>3.36</v>
      </c>
      <c r="J28" s="59">
        <f t="shared" si="5"/>
        <v>4.2</v>
      </c>
      <c r="K28" s="59">
        <f t="shared" si="5"/>
        <v>4.2</v>
      </c>
      <c r="L28" s="59">
        <f t="shared" si="5"/>
        <v>4.2</v>
      </c>
      <c r="M28" s="59">
        <f t="shared" si="5"/>
        <v>4.2</v>
      </c>
      <c r="N28" s="59">
        <f t="shared" si="5"/>
        <v>9</v>
      </c>
      <c r="O28" s="59">
        <f t="shared" si="5"/>
        <v>9</v>
      </c>
      <c r="P28" s="59">
        <f t="shared" si="5"/>
        <v>9</v>
      </c>
      <c r="Q28" s="59">
        <f t="shared" si="5"/>
        <v>9</v>
      </c>
      <c r="R28" s="59">
        <f t="shared" si="5"/>
        <v>9</v>
      </c>
      <c r="S28" s="59">
        <f t="shared" si="5"/>
        <v>9</v>
      </c>
      <c r="T28" s="59">
        <f t="shared" si="5"/>
        <v>9</v>
      </c>
      <c r="U28" s="59">
        <f t="shared" si="5"/>
        <v>9</v>
      </c>
    </row>
    <row r="29" spans="1:21" s="12" customFormat="1" ht="12.75">
      <c r="A29" s="21" t="s">
        <v>9</v>
      </c>
      <c r="B29" s="58"/>
      <c r="C29" s="59"/>
      <c r="D29" s="59"/>
      <c r="E29" s="60"/>
      <c r="F29" s="58"/>
      <c r="G29" s="59"/>
      <c r="H29" s="59"/>
      <c r="I29" s="60"/>
      <c r="J29" s="58"/>
      <c r="K29" s="59"/>
      <c r="L29" s="59"/>
      <c r="M29" s="60"/>
      <c r="N29" s="58"/>
      <c r="O29" s="59"/>
      <c r="P29" s="59"/>
      <c r="Q29" s="60"/>
      <c r="R29" s="58"/>
      <c r="S29" s="59"/>
      <c r="T29" s="59"/>
      <c r="U29" s="60"/>
    </row>
    <row r="30" spans="1:21" s="12" customFormat="1" ht="12.75">
      <c r="A30" s="22" t="s">
        <v>93</v>
      </c>
      <c r="B30" s="58"/>
      <c r="C30" s="59"/>
      <c r="D30" s="59"/>
      <c r="E30" s="60"/>
      <c r="F30" s="58"/>
      <c r="G30" s="59"/>
      <c r="H30" s="59"/>
      <c r="I30" s="60"/>
      <c r="J30" s="58"/>
      <c r="K30" s="59"/>
      <c r="L30" s="59"/>
      <c r="M30" s="60"/>
      <c r="N30" s="58"/>
      <c r="O30" s="59"/>
      <c r="P30" s="59"/>
      <c r="Q30" s="60"/>
      <c r="R30" s="58"/>
      <c r="S30" s="59"/>
      <c r="T30" s="59"/>
      <c r="U30" s="60"/>
    </row>
    <row r="31" spans="1:21" s="15" customFormat="1" ht="12.75">
      <c r="A31" s="23" t="s">
        <v>21</v>
      </c>
      <c r="B31" s="37"/>
      <c r="C31" s="5"/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</row>
    <row r="32" spans="1:21" s="12" customFormat="1" ht="12.75">
      <c r="A32" s="24" t="s">
        <v>22</v>
      </c>
      <c r="B32" s="58"/>
      <c r="C32" s="59"/>
      <c r="D32" s="59">
        <f>1500*3/1000</f>
        <v>4.5</v>
      </c>
      <c r="E32" s="59">
        <f aca="true" t="shared" si="6" ref="E32:U32">1500*3/1000</f>
        <v>4.5</v>
      </c>
      <c r="F32" s="59">
        <f t="shared" si="6"/>
        <v>4.5</v>
      </c>
      <c r="G32" s="59">
        <f t="shared" si="6"/>
        <v>4.5</v>
      </c>
      <c r="H32" s="59">
        <f t="shared" si="6"/>
        <v>4.5</v>
      </c>
      <c r="I32" s="59">
        <f t="shared" si="6"/>
        <v>4.5</v>
      </c>
      <c r="J32" s="59">
        <f t="shared" si="6"/>
        <v>4.5</v>
      </c>
      <c r="K32" s="59">
        <f t="shared" si="6"/>
        <v>4.5</v>
      </c>
      <c r="L32" s="59">
        <f t="shared" si="6"/>
        <v>4.5</v>
      </c>
      <c r="M32" s="59">
        <f t="shared" si="6"/>
        <v>4.5</v>
      </c>
      <c r="N32" s="59">
        <f t="shared" si="6"/>
        <v>4.5</v>
      </c>
      <c r="O32" s="59">
        <f t="shared" si="6"/>
        <v>4.5</v>
      </c>
      <c r="P32" s="59">
        <f t="shared" si="6"/>
        <v>4.5</v>
      </c>
      <c r="Q32" s="59">
        <f t="shared" si="6"/>
        <v>4.5</v>
      </c>
      <c r="R32" s="59">
        <f t="shared" si="6"/>
        <v>4.5</v>
      </c>
      <c r="S32" s="59">
        <f t="shared" si="6"/>
        <v>4.5</v>
      </c>
      <c r="T32" s="59">
        <f t="shared" si="6"/>
        <v>4.5</v>
      </c>
      <c r="U32" s="59">
        <f t="shared" si="6"/>
        <v>4.5</v>
      </c>
    </row>
    <row r="33" spans="1:21" s="12" customFormat="1" ht="12.75">
      <c r="A33" s="22" t="s">
        <v>105</v>
      </c>
      <c r="B33" s="58"/>
      <c r="C33" s="59"/>
      <c r="D33" s="59"/>
      <c r="E33" s="60"/>
      <c r="F33" s="58"/>
      <c r="G33" s="59"/>
      <c r="H33" s="59"/>
      <c r="I33" s="60"/>
      <c r="J33" s="58"/>
      <c r="K33" s="59"/>
      <c r="L33" s="59"/>
      <c r="M33" s="60"/>
      <c r="N33" s="58"/>
      <c r="O33" s="59"/>
      <c r="P33" s="59"/>
      <c r="Q33" s="60"/>
      <c r="R33" s="58"/>
      <c r="S33" s="59"/>
      <c r="T33" s="59"/>
      <c r="U33" s="60"/>
    </row>
    <row r="34" spans="1:21" s="12" customFormat="1" ht="12.75">
      <c r="A34" s="23" t="s">
        <v>21</v>
      </c>
      <c r="B34" s="37"/>
      <c r="C34" s="5"/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38">
        <v>1</v>
      </c>
      <c r="J34" s="37">
        <v>1</v>
      </c>
      <c r="K34" s="5">
        <v>1</v>
      </c>
      <c r="L34" s="5">
        <v>1</v>
      </c>
      <c r="M34" s="38">
        <v>1</v>
      </c>
      <c r="N34" s="37">
        <v>1</v>
      </c>
      <c r="O34" s="5">
        <v>1</v>
      </c>
      <c r="P34" s="5">
        <v>1</v>
      </c>
      <c r="Q34" s="38">
        <v>1</v>
      </c>
      <c r="R34" s="37">
        <v>1</v>
      </c>
      <c r="S34" s="5">
        <v>1</v>
      </c>
      <c r="T34" s="5">
        <v>1</v>
      </c>
      <c r="U34" s="38">
        <v>1</v>
      </c>
    </row>
    <row r="35" spans="1:21" s="12" customFormat="1" ht="12.75">
      <c r="A35" s="24" t="s">
        <v>22</v>
      </c>
      <c r="B35" s="58"/>
      <c r="C35" s="59"/>
      <c r="D35" s="59">
        <f>18/4*D34</f>
        <v>4.5</v>
      </c>
      <c r="E35" s="59">
        <f>18/4*E34</f>
        <v>4.5</v>
      </c>
      <c r="F35" s="59">
        <f>30/4*F34</f>
        <v>7.5</v>
      </c>
      <c r="G35" s="59">
        <f>30/4*G34</f>
        <v>7.5</v>
      </c>
      <c r="H35" s="59">
        <f aca="true" t="shared" si="7" ref="H35:U35">30/4*H34</f>
        <v>7.5</v>
      </c>
      <c r="I35" s="60">
        <f t="shared" si="7"/>
        <v>7.5</v>
      </c>
      <c r="J35" s="58">
        <f t="shared" si="7"/>
        <v>7.5</v>
      </c>
      <c r="K35" s="59">
        <f t="shared" si="7"/>
        <v>7.5</v>
      </c>
      <c r="L35" s="59">
        <f t="shared" si="7"/>
        <v>7.5</v>
      </c>
      <c r="M35" s="60">
        <f t="shared" si="7"/>
        <v>7.5</v>
      </c>
      <c r="N35" s="58">
        <f t="shared" si="7"/>
        <v>7.5</v>
      </c>
      <c r="O35" s="59">
        <f t="shared" si="7"/>
        <v>7.5</v>
      </c>
      <c r="P35" s="59">
        <f t="shared" si="7"/>
        <v>7.5</v>
      </c>
      <c r="Q35" s="60">
        <f t="shared" si="7"/>
        <v>7.5</v>
      </c>
      <c r="R35" s="58">
        <f t="shared" si="7"/>
        <v>7.5</v>
      </c>
      <c r="S35" s="59">
        <f t="shared" si="7"/>
        <v>7.5</v>
      </c>
      <c r="T35" s="59">
        <f t="shared" si="7"/>
        <v>7.5</v>
      </c>
      <c r="U35" s="60">
        <f t="shared" si="7"/>
        <v>7.5</v>
      </c>
    </row>
    <row r="36" spans="1:21" s="12" customFormat="1" ht="12.75">
      <c r="A36" s="22" t="s">
        <v>49</v>
      </c>
      <c r="B36" s="58"/>
      <c r="C36" s="59"/>
      <c r="D36" s="59"/>
      <c r="E36" s="60"/>
      <c r="F36" s="58"/>
      <c r="G36" s="59"/>
      <c r="H36" s="59"/>
      <c r="I36" s="60"/>
      <c r="J36" s="58"/>
      <c r="K36" s="59"/>
      <c r="L36" s="59"/>
      <c r="M36" s="60"/>
      <c r="N36" s="58"/>
      <c r="O36" s="59"/>
      <c r="P36" s="59"/>
      <c r="Q36" s="60"/>
      <c r="R36" s="58"/>
      <c r="S36" s="59"/>
      <c r="T36" s="59"/>
      <c r="U36" s="60"/>
    </row>
    <row r="37" spans="1:21" s="12" customFormat="1" ht="12.75">
      <c r="A37" s="23" t="s">
        <v>21</v>
      </c>
      <c r="B37" s="37"/>
      <c r="C37" s="5"/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</row>
    <row r="38" spans="1:21" s="12" customFormat="1" ht="12.75">
      <c r="A38" s="24" t="s">
        <v>22</v>
      </c>
      <c r="B38" s="58"/>
      <c r="C38" s="59"/>
      <c r="D38" s="59">
        <f>12/4*D37</f>
        <v>3</v>
      </c>
      <c r="E38" s="59">
        <f aca="true" t="shared" si="8" ref="E38:U38">12/4*E37</f>
        <v>3</v>
      </c>
      <c r="F38" s="59">
        <f t="shared" si="8"/>
        <v>3</v>
      </c>
      <c r="G38" s="59">
        <f t="shared" si="8"/>
        <v>3</v>
      </c>
      <c r="H38" s="59">
        <f t="shared" si="8"/>
        <v>3</v>
      </c>
      <c r="I38" s="59">
        <f t="shared" si="8"/>
        <v>3</v>
      </c>
      <c r="J38" s="59">
        <f t="shared" si="8"/>
        <v>3</v>
      </c>
      <c r="K38" s="59">
        <f t="shared" si="8"/>
        <v>3</v>
      </c>
      <c r="L38" s="59">
        <f t="shared" si="8"/>
        <v>3</v>
      </c>
      <c r="M38" s="59">
        <f t="shared" si="8"/>
        <v>3</v>
      </c>
      <c r="N38" s="59">
        <f t="shared" si="8"/>
        <v>3</v>
      </c>
      <c r="O38" s="59">
        <f t="shared" si="8"/>
        <v>3</v>
      </c>
      <c r="P38" s="59">
        <f t="shared" si="8"/>
        <v>3</v>
      </c>
      <c r="Q38" s="59">
        <f t="shared" si="8"/>
        <v>3</v>
      </c>
      <c r="R38" s="59">
        <f t="shared" si="8"/>
        <v>3</v>
      </c>
      <c r="S38" s="59">
        <f t="shared" si="8"/>
        <v>3</v>
      </c>
      <c r="T38" s="59">
        <f t="shared" si="8"/>
        <v>3</v>
      </c>
      <c r="U38" s="59">
        <f t="shared" si="8"/>
        <v>3</v>
      </c>
    </row>
    <row r="39" spans="1:21" s="12" customFormat="1" ht="12.75">
      <c r="A39" s="21" t="s">
        <v>107</v>
      </c>
      <c r="B39" s="58"/>
      <c r="C39" s="59"/>
      <c r="D39" s="59"/>
      <c r="E39" s="60"/>
      <c r="F39" s="58"/>
      <c r="G39" s="59"/>
      <c r="H39" s="59"/>
      <c r="I39" s="60"/>
      <c r="J39" s="58"/>
      <c r="K39" s="59"/>
      <c r="L39" s="59"/>
      <c r="M39" s="60"/>
      <c r="N39" s="58"/>
      <c r="O39" s="59"/>
      <c r="P39" s="59"/>
      <c r="Q39" s="60"/>
      <c r="R39" s="58"/>
      <c r="S39" s="59"/>
      <c r="T39" s="59"/>
      <c r="U39" s="60"/>
    </row>
    <row r="40" spans="1:21" s="12" customFormat="1" ht="12" customHeight="1">
      <c r="A40" s="22" t="s">
        <v>36</v>
      </c>
      <c r="B40" s="58"/>
      <c r="C40" s="59"/>
      <c r="D40" s="59">
        <v>0</v>
      </c>
      <c r="E40" s="59">
        <v>0</v>
      </c>
      <c r="F40" s="59">
        <v>3</v>
      </c>
      <c r="G40" s="59">
        <v>3</v>
      </c>
      <c r="H40" s="59">
        <v>3</v>
      </c>
      <c r="I40" s="59">
        <v>3</v>
      </c>
      <c r="J40" s="59">
        <v>5</v>
      </c>
      <c r="K40" s="59">
        <v>5</v>
      </c>
      <c r="L40" s="59">
        <v>5</v>
      </c>
      <c r="M40" s="59">
        <v>5</v>
      </c>
      <c r="N40" s="59">
        <v>5</v>
      </c>
      <c r="O40" s="59">
        <v>5</v>
      </c>
      <c r="P40" s="59">
        <v>5</v>
      </c>
      <c r="Q40" s="59">
        <v>5</v>
      </c>
      <c r="R40" s="59">
        <v>5</v>
      </c>
      <c r="S40" s="59">
        <v>5</v>
      </c>
      <c r="T40" s="59">
        <v>5</v>
      </c>
      <c r="U40" s="59">
        <v>5</v>
      </c>
    </row>
    <row r="41" spans="1:21" s="12" customFormat="1" ht="12" customHeight="1">
      <c r="A41" s="22" t="s">
        <v>108</v>
      </c>
      <c r="B41" s="58"/>
      <c r="C41" s="59"/>
      <c r="D41" s="59">
        <v>1</v>
      </c>
      <c r="E41" s="59">
        <v>1</v>
      </c>
      <c r="F41" s="59">
        <v>1</v>
      </c>
      <c r="G41" s="59">
        <v>1</v>
      </c>
      <c r="H41" s="59">
        <v>1</v>
      </c>
      <c r="I41" s="59">
        <v>1</v>
      </c>
      <c r="J41" s="59">
        <v>1</v>
      </c>
      <c r="K41" s="59">
        <v>1</v>
      </c>
      <c r="L41" s="59">
        <v>1</v>
      </c>
      <c r="M41" s="59">
        <v>1</v>
      </c>
      <c r="N41" s="59">
        <v>1</v>
      </c>
      <c r="O41" s="59">
        <v>1</v>
      </c>
      <c r="P41" s="59">
        <v>1</v>
      </c>
      <c r="Q41" s="59">
        <v>1</v>
      </c>
      <c r="R41" s="59">
        <v>1</v>
      </c>
      <c r="S41" s="59">
        <v>1</v>
      </c>
      <c r="T41" s="59">
        <v>1</v>
      </c>
      <c r="U41" s="59">
        <v>1</v>
      </c>
    </row>
    <row r="42" spans="1:21" s="12" customFormat="1" ht="12" customHeight="1">
      <c r="A42" s="22" t="s">
        <v>11</v>
      </c>
      <c r="B42" s="58"/>
      <c r="C42" s="59"/>
      <c r="D42" s="59">
        <v>1</v>
      </c>
      <c r="E42" s="59">
        <v>1</v>
      </c>
      <c r="F42" s="59">
        <v>1</v>
      </c>
      <c r="G42" s="59">
        <v>1</v>
      </c>
      <c r="H42" s="59">
        <v>1</v>
      </c>
      <c r="I42" s="59">
        <v>1.5</v>
      </c>
      <c r="J42" s="59">
        <v>2</v>
      </c>
      <c r="K42" s="59">
        <v>2</v>
      </c>
      <c r="L42" s="59">
        <v>2</v>
      </c>
      <c r="M42" s="59">
        <v>2</v>
      </c>
      <c r="N42" s="59">
        <v>2</v>
      </c>
      <c r="O42" s="59">
        <v>2</v>
      </c>
      <c r="P42" s="59">
        <v>2</v>
      </c>
      <c r="Q42" s="59">
        <v>2</v>
      </c>
      <c r="R42" s="59">
        <v>2</v>
      </c>
      <c r="S42" s="59">
        <v>2</v>
      </c>
      <c r="T42" s="59">
        <v>2</v>
      </c>
      <c r="U42" s="59">
        <v>2</v>
      </c>
    </row>
    <row r="43" spans="1:21" s="12" customFormat="1" ht="12" customHeight="1">
      <c r="A43" s="22" t="s">
        <v>12</v>
      </c>
      <c r="B43" s="58"/>
      <c r="C43" s="59"/>
      <c r="D43" s="59">
        <v>1.5</v>
      </c>
      <c r="E43" s="59">
        <v>1.5</v>
      </c>
      <c r="F43" s="59">
        <v>1.5</v>
      </c>
      <c r="G43" s="59">
        <v>1.5</v>
      </c>
      <c r="H43" s="59">
        <v>1.5</v>
      </c>
      <c r="I43" s="59">
        <v>1.5</v>
      </c>
      <c r="J43" s="59">
        <v>1.5</v>
      </c>
      <c r="K43" s="59">
        <v>1.5</v>
      </c>
      <c r="L43" s="59">
        <v>1.5</v>
      </c>
      <c r="M43" s="59">
        <v>1.5</v>
      </c>
      <c r="N43" s="59">
        <v>1.5</v>
      </c>
      <c r="O43" s="59">
        <v>1.5</v>
      </c>
      <c r="P43" s="59">
        <v>1.5</v>
      </c>
      <c r="Q43" s="59">
        <v>1.5</v>
      </c>
      <c r="R43" s="59">
        <v>1.5</v>
      </c>
      <c r="S43" s="59">
        <v>1.5</v>
      </c>
      <c r="T43" s="59">
        <v>1.5</v>
      </c>
      <c r="U43" s="59">
        <v>1.5</v>
      </c>
    </row>
    <row r="44" spans="1:21" s="12" customFormat="1" ht="12" customHeight="1">
      <c r="A44" s="22" t="s">
        <v>15</v>
      </c>
      <c r="B44" s="58"/>
      <c r="C44" s="59"/>
      <c r="D44" s="59">
        <v>0.5</v>
      </c>
      <c r="E44" s="59">
        <v>0.5</v>
      </c>
      <c r="F44" s="59">
        <v>0.5</v>
      </c>
      <c r="G44" s="59">
        <v>0.5</v>
      </c>
      <c r="H44" s="59">
        <v>0.5</v>
      </c>
      <c r="I44" s="59">
        <v>0.5</v>
      </c>
      <c r="J44" s="59">
        <v>0.5</v>
      </c>
      <c r="K44" s="59">
        <v>0.5</v>
      </c>
      <c r="L44" s="59">
        <v>0.5</v>
      </c>
      <c r="M44" s="59">
        <v>0.5</v>
      </c>
      <c r="N44" s="59">
        <v>0.5</v>
      </c>
      <c r="O44" s="59">
        <v>0.5</v>
      </c>
      <c r="P44" s="59">
        <v>0.5</v>
      </c>
      <c r="Q44" s="59">
        <v>0.5</v>
      </c>
      <c r="R44" s="59">
        <v>0.5</v>
      </c>
      <c r="S44" s="59">
        <v>0.5</v>
      </c>
      <c r="T44" s="59">
        <v>0.5</v>
      </c>
      <c r="U44" s="59">
        <v>0.5</v>
      </c>
    </row>
    <row r="45" spans="1:21" s="12" customFormat="1" ht="12" customHeight="1">
      <c r="A45" s="22" t="s">
        <v>19</v>
      </c>
      <c r="B45" s="58"/>
      <c r="C45" s="59"/>
      <c r="D45" s="59">
        <v>1</v>
      </c>
      <c r="E45" s="59">
        <v>1</v>
      </c>
      <c r="F45" s="59">
        <v>1</v>
      </c>
      <c r="G45" s="59">
        <v>1</v>
      </c>
      <c r="H45" s="59">
        <v>1</v>
      </c>
      <c r="I45" s="59">
        <v>1</v>
      </c>
      <c r="J45" s="59">
        <v>1</v>
      </c>
      <c r="K45" s="59">
        <v>1</v>
      </c>
      <c r="L45" s="59">
        <v>1</v>
      </c>
      <c r="M45" s="59">
        <v>1</v>
      </c>
      <c r="N45" s="59">
        <v>1</v>
      </c>
      <c r="O45" s="59">
        <v>1</v>
      </c>
      <c r="P45" s="59">
        <v>1</v>
      </c>
      <c r="Q45" s="59">
        <v>1</v>
      </c>
      <c r="R45" s="59">
        <v>1</v>
      </c>
      <c r="S45" s="59">
        <v>1</v>
      </c>
      <c r="T45" s="59">
        <v>1</v>
      </c>
      <c r="U45" s="59">
        <v>1</v>
      </c>
    </row>
    <row r="46" spans="1:21" s="12" customFormat="1" ht="12" customHeight="1">
      <c r="A46" s="22" t="s">
        <v>13</v>
      </c>
      <c r="B46" s="58"/>
      <c r="C46" s="59"/>
      <c r="D46" s="59">
        <v>0.5</v>
      </c>
      <c r="E46" s="59">
        <v>0.5</v>
      </c>
      <c r="F46" s="59">
        <v>0.5</v>
      </c>
      <c r="G46" s="59">
        <v>0.5</v>
      </c>
      <c r="H46" s="59">
        <v>0.5</v>
      </c>
      <c r="I46" s="59">
        <v>0.5</v>
      </c>
      <c r="J46" s="59">
        <v>0.5</v>
      </c>
      <c r="K46" s="59">
        <v>0.5</v>
      </c>
      <c r="L46" s="59">
        <v>0.5</v>
      </c>
      <c r="M46" s="59">
        <v>0.5</v>
      </c>
      <c r="N46" s="59">
        <v>0.5</v>
      </c>
      <c r="O46" s="59">
        <v>0.5</v>
      </c>
      <c r="P46" s="59">
        <v>0.5</v>
      </c>
      <c r="Q46" s="59">
        <v>0.5</v>
      </c>
      <c r="R46" s="59">
        <v>0.5</v>
      </c>
      <c r="S46" s="59">
        <v>0.5</v>
      </c>
      <c r="T46" s="59">
        <v>0.5</v>
      </c>
      <c r="U46" s="59">
        <v>0.5</v>
      </c>
    </row>
    <row r="47" spans="1:21" s="12" customFormat="1" ht="12" customHeight="1">
      <c r="A47" s="22" t="s">
        <v>26</v>
      </c>
      <c r="B47" s="58"/>
      <c r="C47" s="59"/>
      <c r="D47" s="59">
        <v>1</v>
      </c>
      <c r="E47" s="59">
        <v>1</v>
      </c>
      <c r="F47" s="59">
        <v>1</v>
      </c>
      <c r="G47" s="59">
        <v>1</v>
      </c>
      <c r="H47" s="59">
        <v>1</v>
      </c>
      <c r="I47" s="59">
        <v>1</v>
      </c>
      <c r="J47" s="59">
        <v>1</v>
      </c>
      <c r="K47" s="59">
        <v>1</v>
      </c>
      <c r="L47" s="59">
        <v>1</v>
      </c>
      <c r="M47" s="59">
        <v>1</v>
      </c>
      <c r="N47" s="59">
        <v>1</v>
      </c>
      <c r="O47" s="59">
        <v>1</v>
      </c>
      <c r="P47" s="59">
        <v>1</v>
      </c>
      <c r="Q47" s="59">
        <v>1</v>
      </c>
      <c r="R47" s="59">
        <v>1</v>
      </c>
      <c r="S47" s="59">
        <v>1</v>
      </c>
      <c r="T47" s="59">
        <v>1</v>
      </c>
      <c r="U47" s="59">
        <v>1</v>
      </c>
    </row>
    <row r="48" spans="1:21" s="12" customFormat="1" ht="12" customHeight="1">
      <c r="A48" s="21" t="s">
        <v>18</v>
      </c>
      <c r="B48" s="61"/>
      <c r="C48" s="62"/>
      <c r="D48" s="62"/>
      <c r="E48" s="63"/>
      <c r="F48" s="61"/>
      <c r="G48" s="62"/>
      <c r="H48" s="62"/>
      <c r="I48" s="63"/>
      <c r="J48" s="61"/>
      <c r="K48" s="62"/>
      <c r="L48" s="62"/>
      <c r="M48" s="63"/>
      <c r="N48" s="61"/>
      <c r="O48" s="62"/>
      <c r="P48" s="62"/>
      <c r="Q48" s="63"/>
      <c r="R48" s="61"/>
      <c r="S48" s="62"/>
      <c r="T48" s="62"/>
      <c r="U48" s="63"/>
    </row>
    <row r="49" spans="1:21" s="12" customFormat="1" ht="12.75">
      <c r="A49" s="22" t="s">
        <v>14</v>
      </c>
      <c r="B49" s="58"/>
      <c r="C49" s="59"/>
      <c r="D49" s="59">
        <v>5</v>
      </c>
      <c r="E49" s="59">
        <v>5</v>
      </c>
      <c r="F49" s="59">
        <v>5</v>
      </c>
      <c r="G49" s="59">
        <v>5</v>
      </c>
      <c r="H49" s="59">
        <v>5</v>
      </c>
      <c r="I49" s="59">
        <v>5</v>
      </c>
      <c r="J49" s="59">
        <v>5</v>
      </c>
      <c r="K49" s="59">
        <v>5</v>
      </c>
      <c r="L49" s="59">
        <v>5</v>
      </c>
      <c r="M49" s="59">
        <v>5</v>
      </c>
      <c r="N49" s="59">
        <v>5</v>
      </c>
      <c r="O49" s="59">
        <v>5</v>
      </c>
      <c r="P49" s="59">
        <v>5</v>
      </c>
      <c r="Q49" s="59">
        <v>5</v>
      </c>
      <c r="R49" s="59">
        <v>5</v>
      </c>
      <c r="S49" s="59">
        <v>5</v>
      </c>
      <c r="T49" s="59">
        <v>5</v>
      </c>
      <c r="U49" s="59">
        <v>5</v>
      </c>
    </row>
    <row r="50" spans="1:24" s="12" customFormat="1" ht="12.75" hidden="1">
      <c r="A50" s="22" t="s">
        <v>28</v>
      </c>
      <c r="B50" s="61"/>
      <c r="C50" s="62"/>
      <c r="D50" s="62"/>
      <c r="E50" s="63"/>
      <c r="F50" s="61"/>
      <c r="G50" s="62"/>
      <c r="H50" s="62"/>
      <c r="I50" s="63"/>
      <c r="J50" s="61"/>
      <c r="K50" s="62"/>
      <c r="L50" s="62"/>
      <c r="M50" s="63"/>
      <c r="N50" s="61"/>
      <c r="O50" s="62"/>
      <c r="P50" s="62"/>
      <c r="Q50" s="63"/>
      <c r="R50" s="61"/>
      <c r="S50" s="62"/>
      <c r="T50" s="62"/>
      <c r="U50" s="63"/>
      <c r="X50" s="64"/>
    </row>
    <row r="51" spans="1:21" s="12" customFormat="1" ht="12.75" hidden="1">
      <c r="A51" s="22" t="s">
        <v>29</v>
      </c>
      <c r="B51" s="61"/>
      <c r="C51" s="62"/>
      <c r="D51" s="62"/>
      <c r="E51" s="63"/>
      <c r="F51" s="61"/>
      <c r="G51" s="62"/>
      <c r="H51" s="62"/>
      <c r="I51" s="63"/>
      <c r="J51" s="61"/>
      <c r="K51" s="62"/>
      <c r="L51" s="62"/>
      <c r="M51" s="63"/>
      <c r="N51" s="61"/>
      <c r="O51" s="62"/>
      <c r="P51" s="62"/>
      <c r="Q51" s="63"/>
      <c r="R51" s="61"/>
      <c r="S51" s="62"/>
      <c r="T51" s="62"/>
      <c r="U51" s="63"/>
    </row>
    <row r="52" spans="1:21" s="12" customFormat="1" ht="12.75">
      <c r="A52" s="21" t="s">
        <v>30</v>
      </c>
      <c r="B52" s="61"/>
      <c r="C52" s="62"/>
      <c r="D52" s="62"/>
      <c r="E52" s="63"/>
      <c r="F52" s="61"/>
      <c r="G52" s="62"/>
      <c r="H52" s="62"/>
      <c r="I52" s="63"/>
      <c r="J52" s="61"/>
      <c r="K52" s="62"/>
      <c r="L52" s="62"/>
      <c r="M52" s="63"/>
      <c r="N52" s="61"/>
      <c r="O52" s="62"/>
      <c r="P52" s="62"/>
      <c r="Q52" s="63"/>
      <c r="R52" s="61"/>
      <c r="S52" s="62"/>
      <c r="T52" s="62"/>
      <c r="U52" s="63"/>
    </row>
    <row r="53" spans="1:21" s="12" customFormat="1" ht="12.75" hidden="1">
      <c r="A53" s="22" t="s">
        <v>34</v>
      </c>
      <c r="B53" s="61"/>
      <c r="C53" s="62"/>
      <c r="D53" s="62"/>
      <c r="E53" s="63"/>
      <c r="F53" s="61"/>
      <c r="G53" s="62"/>
      <c r="H53" s="62"/>
      <c r="I53" s="63"/>
      <c r="J53" s="61"/>
      <c r="K53" s="62"/>
      <c r="L53" s="62"/>
      <c r="M53" s="63"/>
      <c r="N53" s="61"/>
      <c r="O53" s="62"/>
      <c r="P53" s="62"/>
      <c r="Q53" s="63"/>
      <c r="R53" s="61"/>
      <c r="S53" s="62"/>
      <c r="T53" s="62"/>
      <c r="U53" s="63"/>
    </row>
    <row r="54" spans="1:21" s="12" customFormat="1" ht="12.75">
      <c r="A54" s="89" t="s">
        <v>92</v>
      </c>
      <c r="B54" s="62">
        <f>+B21*5%</f>
        <v>1.47</v>
      </c>
      <c r="C54" s="62">
        <f>+B21*5%</f>
        <v>1.47</v>
      </c>
      <c r="D54" s="62">
        <f>+B21*5%</f>
        <v>1.47</v>
      </c>
      <c r="E54" s="62">
        <f>+C21*5%</f>
        <v>0</v>
      </c>
      <c r="F54" s="62"/>
      <c r="G54" s="62"/>
      <c r="H54" s="62">
        <f>+$F$21*2.5%</f>
        <v>3.2725600000000004</v>
      </c>
      <c r="I54" s="62">
        <f aca="true" t="shared" si="9" ref="I54:U54">+$F$21*2.5%</f>
        <v>3.2725600000000004</v>
      </c>
      <c r="J54" s="62">
        <f t="shared" si="9"/>
        <v>3.2725600000000004</v>
      </c>
      <c r="K54" s="62">
        <f t="shared" si="9"/>
        <v>3.2725600000000004</v>
      </c>
      <c r="L54" s="62">
        <f t="shared" si="9"/>
        <v>3.2725600000000004</v>
      </c>
      <c r="M54" s="62">
        <f t="shared" si="9"/>
        <v>3.2725600000000004</v>
      </c>
      <c r="N54" s="62">
        <f t="shared" si="9"/>
        <v>3.2725600000000004</v>
      </c>
      <c r="O54" s="62">
        <f t="shared" si="9"/>
        <v>3.2725600000000004</v>
      </c>
      <c r="P54" s="62">
        <f t="shared" si="9"/>
        <v>3.2725600000000004</v>
      </c>
      <c r="Q54" s="62">
        <f t="shared" si="9"/>
        <v>3.2725600000000004</v>
      </c>
      <c r="R54" s="62">
        <f t="shared" si="9"/>
        <v>3.2725600000000004</v>
      </c>
      <c r="S54" s="62">
        <f t="shared" si="9"/>
        <v>3.2725600000000004</v>
      </c>
      <c r="T54" s="62">
        <f t="shared" si="9"/>
        <v>3.2725600000000004</v>
      </c>
      <c r="U54" s="62">
        <f t="shared" si="9"/>
        <v>3.2725600000000004</v>
      </c>
    </row>
    <row r="55" spans="1:21" s="12" customFormat="1" ht="12.75">
      <c r="A55" s="47" t="s">
        <v>32</v>
      </c>
      <c r="B55" s="48"/>
      <c r="C55" s="49"/>
      <c r="D55" s="49">
        <f aca="true" t="shared" si="10" ref="D55:U55">+D27+D28+D32+D35+D38+D40+D41+D42+D43+D44+D45+D46+D47+D49+D54</f>
        <v>30.009999999999998</v>
      </c>
      <c r="E55" s="49">
        <f t="shared" si="10"/>
        <v>28.54</v>
      </c>
      <c r="F55" s="49">
        <f t="shared" si="10"/>
        <v>37.564</v>
      </c>
      <c r="G55" s="49">
        <f t="shared" si="10"/>
        <v>37.564</v>
      </c>
      <c r="H55" s="49">
        <f t="shared" si="10"/>
        <v>40.83656</v>
      </c>
      <c r="I55" s="49">
        <f t="shared" si="10"/>
        <v>41.33656</v>
      </c>
      <c r="J55" s="49">
        <f t="shared" si="10"/>
        <v>45.85256</v>
      </c>
      <c r="K55" s="49">
        <f t="shared" si="10"/>
        <v>45.85256</v>
      </c>
      <c r="L55" s="49">
        <f t="shared" si="10"/>
        <v>45.85256</v>
      </c>
      <c r="M55" s="49">
        <f t="shared" si="10"/>
        <v>45.85256</v>
      </c>
      <c r="N55" s="49">
        <f t="shared" si="10"/>
        <v>57.37256</v>
      </c>
      <c r="O55" s="49">
        <f t="shared" si="10"/>
        <v>57.37256</v>
      </c>
      <c r="P55" s="49">
        <f t="shared" si="10"/>
        <v>57.37256</v>
      </c>
      <c r="Q55" s="49">
        <f t="shared" si="10"/>
        <v>57.37256</v>
      </c>
      <c r="R55" s="49">
        <f t="shared" si="10"/>
        <v>57.37256</v>
      </c>
      <c r="S55" s="49">
        <f t="shared" si="10"/>
        <v>57.37256</v>
      </c>
      <c r="T55" s="49">
        <f t="shared" si="10"/>
        <v>57.37256</v>
      </c>
      <c r="U55" s="49">
        <f t="shared" si="10"/>
        <v>57.37256</v>
      </c>
    </row>
    <row r="56" spans="1:23" ht="12.75">
      <c r="A56" s="88" t="s">
        <v>66</v>
      </c>
      <c r="B56" s="236">
        <f>SUM(B55:E55)</f>
        <v>58.55</v>
      </c>
      <c r="C56" s="237"/>
      <c r="D56" s="237"/>
      <c r="E56" s="238"/>
      <c r="F56" s="236">
        <f>SUM(F55:I55)</f>
        <v>157.30112</v>
      </c>
      <c r="G56" s="237"/>
      <c r="H56" s="237"/>
      <c r="I56" s="238"/>
      <c r="J56" s="236">
        <f>SUM(J55:M55)</f>
        <v>183.41024</v>
      </c>
      <c r="K56" s="237"/>
      <c r="L56" s="237"/>
      <c r="M56" s="238"/>
      <c r="N56" s="236">
        <f>SUM(N55:Q55)</f>
        <v>229.49024</v>
      </c>
      <c r="O56" s="237"/>
      <c r="P56" s="237"/>
      <c r="Q56" s="238"/>
      <c r="R56" s="236">
        <f>SUM(R55:U55)</f>
        <v>229.49024</v>
      </c>
      <c r="S56" s="237"/>
      <c r="T56" s="237"/>
      <c r="U56" s="238"/>
      <c r="V56" s="12"/>
      <c r="W56" s="12"/>
    </row>
    <row r="57" spans="2:21" s="12" customFormat="1" ht="12.75">
      <c r="B57" s="33"/>
      <c r="C57" s="17"/>
      <c r="D57" s="17"/>
      <c r="E57" s="34"/>
      <c r="F57" s="33"/>
      <c r="G57" s="17"/>
      <c r="H57" s="17"/>
      <c r="I57" s="34"/>
      <c r="J57" s="33"/>
      <c r="K57" s="17"/>
      <c r="L57" s="17"/>
      <c r="M57" s="34"/>
      <c r="N57" s="33"/>
      <c r="O57" s="17"/>
      <c r="P57" s="17"/>
      <c r="Q57" s="34"/>
      <c r="R57" s="33"/>
      <c r="S57" s="17"/>
      <c r="T57" s="17"/>
      <c r="U57" s="34"/>
    </row>
    <row r="58" spans="1:23" ht="13.5" thickBot="1">
      <c r="A58" s="92" t="s">
        <v>57</v>
      </c>
      <c r="B58" s="236">
        <f>+B21-B56</f>
        <v>-29.15</v>
      </c>
      <c r="C58" s="237"/>
      <c r="D58" s="237"/>
      <c r="E58" s="238"/>
      <c r="F58" s="236">
        <f>+F21-F56</f>
        <v>-26.398719999999997</v>
      </c>
      <c r="G58" s="237"/>
      <c r="H58" s="237"/>
      <c r="I58" s="238"/>
      <c r="J58" s="236">
        <f>+J21-J56</f>
        <v>3.181640000000044</v>
      </c>
      <c r="K58" s="237"/>
      <c r="L58" s="237"/>
      <c r="M58" s="238"/>
      <c r="N58" s="236">
        <f>+N21-N56</f>
        <v>218.89070600000005</v>
      </c>
      <c r="O58" s="237"/>
      <c r="P58" s="237"/>
      <c r="Q58" s="238"/>
      <c r="R58" s="236">
        <f>+R21-R56</f>
        <v>308.38030466</v>
      </c>
      <c r="S58" s="237"/>
      <c r="T58" s="237"/>
      <c r="U58" s="238"/>
      <c r="V58" s="12"/>
      <c r="W58" s="12"/>
    </row>
    <row r="59" spans="1:24" s="12" customFormat="1" ht="12.75">
      <c r="A59" s="22" t="s">
        <v>59</v>
      </c>
      <c r="B59" s="243">
        <f>-B58*33%</f>
        <v>9.6195</v>
      </c>
      <c r="C59" s="244"/>
      <c r="D59" s="244"/>
      <c r="E59" s="245"/>
      <c r="F59" s="243">
        <f>-F58*33%</f>
        <v>8.7115776</v>
      </c>
      <c r="G59" s="244"/>
      <c r="H59" s="244"/>
      <c r="I59" s="245"/>
      <c r="J59" s="243">
        <f>-J58*33%</f>
        <v>-1.0499412000000146</v>
      </c>
      <c r="K59" s="244"/>
      <c r="L59" s="244"/>
      <c r="M59" s="245"/>
      <c r="N59" s="243">
        <f>-N58*33%</f>
        <v>-72.23393298000002</v>
      </c>
      <c r="O59" s="244"/>
      <c r="P59" s="244"/>
      <c r="Q59" s="245"/>
      <c r="R59" s="243">
        <f>-R58*33%</f>
        <v>-101.7655005378</v>
      </c>
      <c r="S59" s="244"/>
      <c r="T59" s="244"/>
      <c r="U59" s="245"/>
      <c r="X59" s="64"/>
    </row>
    <row r="60" spans="1:21" s="12" customFormat="1" ht="12.75">
      <c r="A60" s="22" t="s">
        <v>60</v>
      </c>
      <c r="B60" s="243">
        <f>-B59*33%</f>
        <v>-3.1744350000000003</v>
      </c>
      <c r="C60" s="244"/>
      <c r="D60" s="244"/>
      <c r="E60" s="245"/>
      <c r="F60" s="243">
        <f>-F59*33%</f>
        <v>-2.8748206080000003</v>
      </c>
      <c r="G60" s="244"/>
      <c r="H60" s="244"/>
      <c r="I60" s="245"/>
      <c r="J60" s="243">
        <f>-J59*33%</f>
        <v>0.3464805960000048</v>
      </c>
      <c r="K60" s="244"/>
      <c r="L60" s="244"/>
      <c r="M60" s="245"/>
      <c r="N60" s="243">
        <f>-N59*33%</f>
        <v>23.83719788340001</v>
      </c>
      <c r="O60" s="244"/>
      <c r="P60" s="244"/>
      <c r="Q60" s="245"/>
      <c r="R60" s="243">
        <f>-R59*33%</f>
        <v>33.582615177474</v>
      </c>
      <c r="S60" s="244"/>
      <c r="T60" s="244"/>
      <c r="U60" s="245"/>
    </row>
    <row r="61" spans="1:23" ht="12.75">
      <c r="A61" s="47" t="s">
        <v>61</v>
      </c>
      <c r="B61" s="236">
        <f>SUM(B58:E60)</f>
        <v>-22.704934999999995</v>
      </c>
      <c r="C61" s="237"/>
      <c r="D61" s="237"/>
      <c r="E61" s="238"/>
      <c r="F61" s="236">
        <f>SUM(F58:I60)</f>
        <v>-20.561963008</v>
      </c>
      <c r="G61" s="237"/>
      <c r="H61" s="237"/>
      <c r="I61" s="238"/>
      <c r="J61" s="236">
        <f>SUM(J58:M60)</f>
        <v>2.4781793960000345</v>
      </c>
      <c r="K61" s="237"/>
      <c r="L61" s="237"/>
      <c r="M61" s="238"/>
      <c r="N61" s="236">
        <f>SUM(N58:Q60)</f>
        <v>170.49397090340005</v>
      </c>
      <c r="O61" s="237"/>
      <c r="P61" s="237"/>
      <c r="Q61" s="238"/>
      <c r="R61" s="236">
        <f>SUM(R58:U60)</f>
        <v>240.19741929967398</v>
      </c>
      <c r="S61" s="237"/>
      <c r="T61" s="237"/>
      <c r="U61" s="238"/>
      <c r="V61" s="12"/>
      <c r="W61" s="12"/>
    </row>
    <row r="62" spans="2:20" s="12" customFormat="1" ht="12.75">
      <c r="B62" s="149">
        <f>+B61*51%</f>
        <v>-11.579516849999997</v>
      </c>
      <c r="E62" s="150">
        <v>0.51</v>
      </c>
      <c r="F62" s="149">
        <f>+F61*51%</f>
        <v>-10.48660113408</v>
      </c>
      <c r="I62" s="150">
        <v>0.51</v>
      </c>
      <c r="J62" s="149">
        <f>+J61*51%</f>
        <v>1.2638714919600176</v>
      </c>
      <c r="M62" s="150">
        <v>0.51</v>
      </c>
      <c r="N62" s="149">
        <f>+N61*51%</f>
        <v>86.95192516073404</v>
      </c>
      <c r="P62" s="150">
        <v>0.51</v>
      </c>
      <c r="R62" s="149">
        <f>+R61*51%</f>
        <v>122.50068384283374</v>
      </c>
      <c r="T62" s="150">
        <v>0.51</v>
      </c>
    </row>
    <row r="63" spans="2:20" s="12" customFormat="1" ht="12.75">
      <c r="B63" s="149">
        <f>+B61*49%</f>
        <v>-11.125418149999998</v>
      </c>
      <c r="E63" s="150">
        <v>0.49</v>
      </c>
      <c r="F63" s="149">
        <f>+F61*49%</f>
        <v>-10.075361873919999</v>
      </c>
      <c r="I63" s="150">
        <v>0.49</v>
      </c>
      <c r="J63" s="149">
        <f>+J61*49%</f>
        <v>1.2143079040400169</v>
      </c>
      <c r="M63" s="150">
        <v>0.49</v>
      </c>
      <c r="N63" s="149">
        <f>+N61*49%</f>
        <v>83.54204574266602</v>
      </c>
      <c r="P63" s="150">
        <v>0.49</v>
      </c>
      <c r="R63" s="149">
        <f>+R61*49%</f>
        <v>117.69673545684024</v>
      </c>
      <c r="T63" s="150">
        <v>0.49</v>
      </c>
    </row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</sheetData>
  <mergeCells count="45">
    <mergeCell ref="R3:U3"/>
    <mergeCell ref="B18:E18"/>
    <mergeCell ref="F18:I18"/>
    <mergeCell ref="J18:M18"/>
    <mergeCell ref="N18:Q18"/>
    <mergeCell ref="R18:U18"/>
    <mergeCell ref="B3:E3"/>
    <mergeCell ref="F3:I3"/>
    <mergeCell ref="J3:M3"/>
    <mergeCell ref="N3:Q3"/>
    <mergeCell ref="R21:U21"/>
    <mergeCell ref="B24:E24"/>
    <mergeCell ref="F24:I24"/>
    <mergeCell ref="J24:M24"/>
    <mergeCell ref="N24:Q24"/>
    <mergeCell ref="R24:U24"/>
    <mergeCell ref="B21:E21"/>
    <mergeCell ref="F21:I21"/>
    <mergeCell ref="J21:M21"/>
    <mergeCell ref="N21:Q21"/>
    <mergeCell ref="R56:U56"/>
    <mergeCell ref="B58:E58"/>
    <mergeCell ref="F58:I58"/>
    <mergeCell ref="J58:M58"/>
    <mergeCell ref="N58:Q58"/>
    <mergeCell ref="R58:U58"/>
    <mergeCell ref="B56:E56"/>
    <mergeCell ref="F56:I56"/>
    <mergeCell ref="J56:M56"/>
    <mergeCell ref="N56:Q56"/>
    <mergeCell ref="R59:U59"/>
    <mergeCell ref="B60:E60"/>
    <mergeCell ref="F60:I60"/>
    <mergeCell ref="J60:M60"/>
    <mergeCell ref="N60:Q60"/>
    <mergeCell ref="R60:U60"/>
    <mergeCell ref="B59:E59"/>
    <mergeCell ref="F59:I59"/>
    <mergeCell ref="J59:M59"/>
    <mergeCell ref="N59:Q59"/>
    <mergeCell ref="R61:U61"/>
    <mergeCell ref="B61:E61"/>
    <mergeCell ref="F61:I61"/>
    <mergeCell ref="J61:M61"/>
    <mergeCell ref="N61:Q61"/>
  </mergeCells>
  <printOptions horizontalCentered="1" verticalCentered="1"/>
  <pageMargins left="0.15748031496062992" right="0.15748031496062992" top="0.2362204724409449" bottom="0.2755905511811024" header="0.15748031496062992" footer="0.1574803149606299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4"/>
  <sheetViews>
    <sheetView workbookViewId="0" topLeftCell="A1">
      <selection activeCell="A4" sqref="A4"/>
    </sheetView>
  </sheetViews>
  <sheetFormatPr defaultColWidth="9.140625" defaultRowHeight="12.75"/>
  <cols>
    <col min="1" max="1" width="12.28125" style="0" bestFit="1" customWidth="1"/>
  </cols>
  <sheetData>
    <row r="3" ht="12.75">
      <c r="A3" s="139">
        <f>PMT(0,10,2700000,0)</f>
        <v>-270000</v>
      </c>
    </row>
    <row r="4" ht="12.75">
      <c r="A4">
        <f>+A3/4</f>
        <v>-67500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Creactive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andrea.testi</dc:creator>
  <cp:keywords/>
  <dc:description/>
  <cp:lastModifiedBy>Strategie&amp;Controllo</cp:lastModifiedBy>
  <cp:lastPrinted>2007-10-03T13:22:31Z</cp:lastPrinted>
  <dcterms:created xsi:type="dcterms:W3CDTF">2007-01-17T14:54:09Z</dcterms:created>
  <dcterms:modified xsi:type="dcterms:W3CDTF">2007-11-02T12:30:20Z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